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Rojo2\Documents\BANCOS\BANCO DE OCCIDENTE\0. DOCUMENTOS LEGALES\"/>
    </mc:Choice>
  </mc:AlternateContent>
  <xr:revisionPtr revIDLastSave="0" documentId="13_ncr:1_{A8225CE1-2ACA-4A84-A76D-455BF867F3C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 de amortización de préstam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1" l="1"/>
  <c r="K26" i="1" s="1"/>
  <c r="C21" i="1"/>
  <c r="D17" i="1"/>
  <c r="D14" i="1" a="1"/>
  <c r="D14" i="1" s="1"/>
  <c r="I10" i="1"/>
  <c r="I20" i="1" l="1"/>
  <c r="G21" i="1" s="1"/>
  <c r="D21" i="1"/>
  <c r="D16" i="1"/>
  <c r="D15" i="1"/>
  <c r="I12" i="1" l="1"/>
  <c r="I11" i="1"/>
  <c r="E21" i="1" s="1"/>
  <c r="H21" i="1" s="1"/>
  <c r="I21" i="1" s="1"/>
  <c r="B22" i="1" l="1"/>
  <c r="D22" i="1"/>
  <c r="G22" i="1" l="1"/>
  <c r="E22" i="1"/>
  <c r="C22" i="1"/>
  <c r="H22" i="1" l="1"/>
  <c r="I22" i="1" s="1"/>
  <c r="B23" i="1" s="1"/>
  <c r="D23" i="1" l="1"/>
  <c r="G23" i="1"/>
  <c r="E23" i="1"/>
  <c r="C23" i="1"/>
  <c r="H23" i="1" l="1"/>
  <c r="I23" i="1" s="1"/>
  <c r="D24" i="1" s="1"/>
  <c r="B24" i="1" l="1"/>
  <c r="G24" i="1" s="1"/>
  <c r="E24" i="1" l="1"/>
  <c r="H24" i="1" s="1"/>
  <c r="I24" i="1" s="1"/>
  <c r="C24" i="1"/>
  <c r="B25" i="1" l="1"/>
  <c r="C25" i="1" s="1"/>
  <c r="D25" i="1"/>
  <c r="G25" i="1" l="1"/>
  <c r="E25" i="1"/>
  <c r="H25" i="1" l="1"/>
  <c r="I25" i="1" s="1"/>
  <c r="B26" i="1" s="1"/>
  <c r="C26" i="1" s="1"/>
  <c r="G26" i="1" l="1"/>
  <c r="E26" i="1"/>
  <c r="D26" i="1"/>
  <c r="H26" i="1" l="1"/>
  <c r="I26" i="1" s="1"/>
  <c r="B27" i="1" s="1"/>
  <c r="G27" i="1" s="1"/>
  <c r="E27" i="1" l="1"/>
  <c r="H27" i="1" s="1"/>
  <c r="I27" i="1" s="1"/>
  <c r="B28" i="1" s="1"/>
  <c r="C27" i="1"/>
  <c r="D27" i="1"/>
  <c r="D28" i="1" l="1"/>
  <c r="G28" i="1"/>
  <c r="C28" i="1"/>
  <c r="E28" i="1"/>
  <c r="H28" i="1" l="1"/>
  <c r="I28" i="1" s="1"/>
  <c r="B29" i="1" s="1"/>
  <c r="D29" i="1" l="1"/>
  <c r="G29" i="1"/>
  <c r="E29" i="1"/>
  <c r="C29" i="1"/>
  <c r="H29" i="1" l="1"/>
  <c r="I29" i="1" s="1"/>
  <c r="D30" i="1" s="1"/>
  <c r="B30" i="1" l="1"/>
  <c r="G30" i="1" s="1"/>
  <c r="C30" i="1" l="1"/>
  <c r="E30" i="1"/>
  <c r="H30" i="1" s="1"/>
  <c r="I30" i="1" s="1"/>
  <c r="D31" i="1" s="1"/>
  <c r="B31" i="1" l="1"/>
  <c r="C31" i="1" s="1"/>
  <c r="G31" i="1" l="1"/>
  <c r="E31" i="1"/>
  <c r="H31" i="1" l="1"/>
  <c r="I31" i="1" s="1"/>
  <c r="D32" i="1" l="1"/>
  <c r="B32" i="1"/>
  <c r="G32" i="1" l="1"/>
  <c r="C32" i="1"/>
  <c r="E32" i="1"/>
  <c r="H32" i="1" l="1"/>
  <c r="I32" i="1" s="1"/>
  <c r="D33" i="1" s="1"/>
  <c r="B33" i="1" l="1"/>
  <c r="G33" i="1" s="1"/>
  <c r="E33" i="1" l="1"/>
  <c r="H33" i="1" s="1"/>
  <c r="I33" i="1" s="1"/>
  <c r="C33" i="1"/>
  <c r="D34" i="1" l="1"/>
  <c r="B34" i="1"/>
  <c r="G34" i="1" l="1"/>
  <c r="E34" i="1"/>
  <c r="C34" i="1"/>
  <c r="H34" i="1" l="1"/>
  <c r="I34" i="1" s="1"/>
  <c r="D35" i="1" s="1"/>
  <c r="B35" i="1" l="1"/>
  <c r="E35" i="1" s="1"/>
  <c r="C35" i="1" l="1"/>
  <c r="G35" i="1"/>
  <c r="H35" i="1" s="1"/>
  <c r="I35" i="1" s="1"/>
  <c r="D36" i="1" s="1"/>
  <c r="B36" i="1" l="1"/>
  <c r="E36" i="1" s="1"/>
  <c r="G36" i="1" l="1"/>
  <c r="H36" i="1" s="1"/>
  <c r="I36" i="1" s="1"/>
  <c r="B37" i="1" s="1"/>
  <c r="C36" i="1"/>
  <c r="D37" i="1" l="1"/>
  <c r="E37" i="1"/>
  <c r="G37" i="1"/>
  <c r="C37" i="1"/>
  <c r="H37" i="1" l="1"/>
  <c r="I37" i="1" s="1"/>
  <c r="D38" i="1" s="1"/>
  <c r="B38" i="1" l="1"/>
  <c r="C38" i="1" s="1"/>
  <c r="G38" i="1" l="1"/>
  <c r="E38" i="1"/>
  <c r="H38" i="1" l="1"/>
  <c r="I38" i="1" s="1"/>
  <c r="D39" i="1" s="1"/>
  <c r="B39" i="1" l="1"/>
  <c r="G39" i="1" s="1"/>
  <c r="C39" i="1" l="1"/>
  <c r="E39" i="1"/>
  <c r="H39" i="1" s="1"/>
  <c r="I39" i="1" s="1"/>
  <c r="D40" i="1" s="1"/>
  <c r="B40" i="1" l="1"/>
  <c r="C40" i="1" s="1"/>
  <c r="G40" i="1" l="1"/>
  <c r="E40" i="1"/>
  <c r="H40" i="1" l="1"/>
  <c r="I40" i="1" s="1"/>
  <c r="D41" i="1" s="1"/>
  <c r="B41" i="1" l="1"/>
  <c r="G41" i="1" s="1"/>
  <c r="C41" i="1" l="1"/>
  <c r="E41" i="1"/>
  <c r="H41" i="1" s="1"/>
  <c r="I41" i="1" s="1"/>
  <c r="B42" i="1" s="1"/>
  <c r="D42" i="1" l="1"/>
  <c r="C42" i="1"/>
  <c r="G42" i="1"/>
  <c r="E42" i="1"/>
  <c r="H42" i="1" l="1"/>
  <c r="I42" i="1" s="1"/>
  <c r="D43" i="1" s="1"/>
  <c r="B43" i="1" l="1"/>
  <c r="G43" i="1" s="1"/>
  <c r="E43" i="1" l="1"/>
  <c r="H43" i="1" s="1"/>
  <c r="I43" i="1" s="1"/>
  <c r="C43" i="1"/>
  <c r="B44" i="1" l="1"/>
  <c r="D44" i="1"/>
  <c r="G44" i="1" l="1"/>
  <c r="C44" i="1"/>
  <c r="E44" i="1"/>
  <c r="H44" i="1" l="1"/>
  <c r="I44" i="1" s="1"/>
  <c r="B45" i="1" s="1"/>
  <c r="D45" i="1" l="1"/>
  <c r="G45" i="1"/>
  <c r="C45" i="1"/>
  <c r="E45" i="1"/>
  <c r="H45" i="1" l="1"/>
  <c r="I45" i="1" s="1"/>
  <c r="D46" i="1" s="1"/>
  <c r="B46" i="1" l="1"/>
  <c r="E46" i="1" s="1"/>
  <c r="G46" i="1" l="1"/>
  <c r="H46" i="1" s="1"/>
  <c r="I46" i="1" s="1"/>
  <c r="D47" i="1" s="1"/>
  <c r="C46" i="1"/>
  <c r="B47" i="1" l="1"/>
  <c r="G47" i="1" s="1"/>
  <c r="C47" i="1" l="1"/>
  <c r="E47" i="1"/>
  <c r="H47" i="1" s="1"/>
  <c r="I47" i="1" s="1"/>
  <c r="D48" i="1" s="1"/>
  <c r="B48" i="1" l="1"/>
  <c r="E48" i="1" s="1"/>
  <c r="C48" i="1" l="1"/>
  <c r="G48" i="1"/>
  <c r="H48" i="1" s="1"/>
  <c r="I48" i="1" s="1"/>
  <c r="B49" i="1" s="1"/>
  <c r="D49" i="1" l="1"/>
  <c r="E49" i="1"/>
  <c r="G49" i="1"/>
  <c r="C49" i="1"/>
  <c r="H49" i="1" l="1"/>
  <c r="I49" i="1" s="1"/>
  <c r="D50" i="1" l="1"/>
  <c r="B50" i="1"/>
  <c r="C50" i="1" l="1"/>
  <c r="E50" i="1"/>
  <c r="G50" i="1"/>
  <c r="H50" i="1" l="1"/>
  <c r="I50" i="1" s="1"/>
  <c r="D51" i="1" s="1"/>
  <c r="B51" i="1" l="1"/>
  <c r="G51" i="1" s="1"/>
  <c r="I13" i="1" s="1"/>
  <c r="C51" i="1" l="1"/>
  <c r="E51" i="1"/>
  <c r="H51" i="1" s="1"/>
  <c r="I51" i="1" s="1"/>
  <c r="D52" i="1" l="1"/>
  <c r="B52" i="1"/>
  <c r="C52" i="1" l="1"/>
  <c r="E52" i="1"/>
  <c r="G52" i="1"/>
  <c r="H52" i="1" l="1"/>
  <c r="I52" i="1" s="1"/>
  <c r="B53" i="1" s="1"/>
  <c r="D53" i="1" l="1"/>
  <c r="C53" i="1"/>
  <c r="E53" i="1"/>
  <c r="G53" i="1"/>
  <c r="H53" i="1" l="1"/>
  <c r="I53" i="1" s="1"/>
  <c r="D54" i="1" s="1"/>
  <c r="B54" i="1" l="1"/>
  <c r="G54" i="1"/>
  <c r="E54" i="1"/>
  <c r="C54" i="1"/>
  <c r="H54" i="1" l="1"/>
  <c r="I54" i="1" s="1"/>
  <c r="B55" i="1" s="1"/>
  <c r="D55" i="1" l="1"/>
  <c r="E55" i="1"/>
  <c r="G55" i="1"/>
  <c r="C55" i="1"/>
  <c r="H55" i="1" l="1"/>
  <c r="I55" i="1" s="1"/>
  <c r="B56" i="1" s="1"/>
  <c r="D56" i="1" l="1"/>
  <c r="E56" i="1"/>
  <c r="G56" i="1"/>
  <c r="C56" i="1"/>
  <c r="H56" i="1" l="1"/>
  <c r="I56" i="1" s="1"/>
  <c r="B57" i="1" s="1"/>
  <c r="D57" i="1" l="1"/>
  <c r="C57" i="1"/>
  <c r="E57" i="1"/>
  <c r="G57" i="1"/>
  <c r="H57" i="1" l="1"/>
  <c r="I57" i="1" s="1"/>
  <c r="B58" i="1" s="1"/>
  <c r="D58" i="1" l="1"/>
  <c r="G58" i="1"/>
  <c r="E58" i="1"/>
  <c r="C58" i="1"/>
  <c r="H58" i="1" l="1"/>
  <c r="I58" i="1" s="1"/>
  <c r="D59" i="1" s="1"/>
  <c r="B59" i="1" l="1"/>
  <c r="G59" i="1" s="1"/>
  <c r="C59" i="1"/>
  <c r="E59" i="1" l="1"/>
  <c r="H59" i="1"/>
  <c r="I59" i="1" s="1"/>
  <c r="B60" i="1"/>
  <c r="D60" i="1"/>
  <c r="G60" i="1" l="1"/>
  <c r="C60" i="1"/>
  <c r="E60" i="1"/>
  <c r="H60" i="1" l="1"/>
  <c r="I60" i="1" s="1"/>
  <c r="D61" i="1" l="1"/>
  <c r="B61" i="1"/>
  <c r="C61" i="1" l="1"/>
  <c r="E61" i="1"/>
  <c r="G61" i="1"/>
  <c r="H61" i="1" l="1"/>
  <c r="I61" i="1" s="1"/>
  <c r="D62" i="1" s="1"/>
  <c r="B62" i="1" l="1"/>
  <c r="G62" i="1" s="1"/>
  <c r="C62" i="1" l="1"/>
  <c r="E62" i="1"/>
  <c r="H62" i="1"/>
  <c r="I62" i="1" s="1"/>
  <c r="B63" i="1" s="1"/>
  <c r="D63" i="1" l="1"/>
  <c r="G63" i="1"/>
  <c r="E63" i="1"/>
  <c r="C63" i="1"/>
  <c r="H63" i="1" l="1"/>
  <c r="I63" i="1" s="1"/>
  <c r="D64" i="1" s="1"/>
  <c r="B64" i="1" l="1"/>
  <c r="E64" i="1" s="1"/>
  <c r="G64" i="1" l="1"/>
  <c r="C64" i="1"/>
  <c r="H64" i="1"/>
  <c r="I64" i="1" s="1"/>
  <c r="B65" i="1" s="1"/>
  <c r="D65" i="1" l="1"/>
  <c r="E65" i="1"/>
  <c r="G65" i="1"/>
  <c r="C65" i="1"/>
  <c r="H65" i="1" l="1"/>
  <c r="I65" i="1" s="1"/>
  <c r="B66" i="1" l="1"/>
  <c r="D66" i="1"/>
  <c r="C66" i="1" l="1"/>
  <c r="E66" i="1"/>
  <c r="G66" i="1"/>
  <c r="H66" i="1" l="1"/>
  <c r="I66" i="1" s="1"/>
  <c r="B67" i="1" s="1"/>
  <c r="D67" i="1" l="1"/>
  <c r="E67" i="1"/>
  <c r="G67" i="1"/>
  <c r="C67" i="1"/>
  <c r="H67" i="1" l="1"/>
  <c r="I67" i="1" s="1"/>
  <c r="B68" i="1" s="1"/>
  <c r="D68" i="1" l="1"/>
  <c r="G68" i="1"/>
  <c r="C68" i="1"/>
  <c r="E68" i="1"/>
  <c r="H68" i="1" l="1"/>
  <c r="I68" i="1" s="1"/>
  <c r="B69" i="1" s="1"/>
  <c r="D69" i="1"/>
  <c r="C69" i="1" l="1"/>
  <c r="E69" i="1"/>
  <c r="G69" i="1"/>
  <c r="H69" i="1" l="1"/>
  <c r="I69" i="1" s="1"/>
  <c r="D70" i="1" s="1"/>
  <c r="B70" i="1" l="1"/>
  <c r="C70" i="1" s="1"/>
  <c r="G70" i="1" l="1"/>
  <c r="H70" i="1" s="1"/>
  <c r="I70" i="1" s="1"/>
  <c r="E70" i="1"/>
  <c r="B71" i="1" l="1"/>
  <c r="D71" i="1"/>
  <c r="C71" i="1"/>
  <c r="E71" i="1"/>
  <c r="G71" i="1"/>
  <c r="H71" i="1" s="1"/>
  <c r="I71" i="1" s="1"/>
  <c r="D72" i="1" l="1"/>
  <c r="B72" i="1"/>
  <c r="G72" i="1" l="1"/>
  <c r="C72" i="1"/>
  <c r="E72" i="1"/>
  <c r="H72" i="1" l="1"/>
  <c r="I72" i="1" s="1"/>
  <c r="B73" i="1" s="1"/>
  <c r="D73" i="1" l="1"/>
  <c r="C73" i="1"/>
  <c r="E73" i="1"/>
  <c r="G73" i="1"/>
  <c r="H73" i="1" l="1"/>
  <c r="I73" i="1" s="1"/>
  <c r="B74" i="1" s="1"/>
  <c r="D74" i="1" l="1"/>
  <c r="G74" i="1"/>
  <c r="E74" i="1"/>
  <c r="C74" i="1"/>
  <c r="H74" i="1" l="1"/>
  <c r="I74" i="1" s="1"/>
  <c r="D75" i="1" s="1"/>
  <c r="B75" i="1" l="1"/>
  <c r="E75" i="1" s="1"/>
  <c r="G75" i="1" l="1"/>
  <c r="H75" i="1" s="1"/>
  <c r="I75" i="1" s="1"/>
  <c r="C75" i="1"/>
  <c r="B76" i="1" l="1"/>
  <c r="C76" i="1" s="1"/>
  <c r="D76" i="1"/>
  <c r="G76" i="1" l="1"/>
  <c r="E76" i="1"/>
  <c r="H76" i="1"/>
  <c r="I76" i="1" s="1"/>
  <c r="B77" i="1" s="1"/>
  <c r="D77" i="1" l="1"/>
  <c r="C77" i="1"/>
  <c r="G77" i="1"/>
  <c r="E77" i="1"/>
  <c r="H77" i="1" l="1"/>
  <c r="I77" i="1" s="1"/>
  <c r="B78" i="1" s="1"/>
  <c r="D78" i="1" l="1"/>
  <c r="C78" i="1"/>
  <c r="E78" i="1"/>
  <c r="G78" i="1"/>
  <c r="H78" i="1" l="1"/>
  <c r="I78" i="1" s="1"/>
  <c r="B79" i="1" s="1"/>
  <c r="D79" i="1" l="1"/>
  <c r="E79" i="1"/>
  <c r="G79" i="1"/>
  <c r="C79" i="1"/>
  <c r="H79" i="1" l="1"/>
  <c r="I79" i="1" s="1"/>
  <c r="B80" i="1" l="1"/>
  <c r="D80" i="1"/>
  <c r="C80" i="1" l="1"/>
  <c r="E80" i="1"/>
  <c r="G80" i="1"/>
  <c r="H80" i="1" l="1"/>
  <c r="I80" i="1" s="1"/>
  <c r="D81" i="1" s="1"/>
  <c r="B81" i="1" l="1"/>
  <c r="C81" i="1" s="1"/>
  <c r="G81" i="1" l="1"/>
  <c r="E81" i="1"/>
  <c r="H81" i="1" l="1"/>
  <c r="I81" i="1" s="1"/>
  <c r="B82" i="1" l="1"/>
  <c r="D82" i="1"/>
  <c r="C82" i="1" l="1"/>
  <c r="E82" i="1"/>
  <c r="G82" i="1"/>
  <c r="H82" i="1" l="1"/>
  <c r="I82" i="1" s="1"/>
  <c r="B83" i="1" s="1"/>
  <c r="D83" i="1"/>
  <c r="C83" i="1" l="1"/>
  <c r="E83" i="1"/>
  <c r="G83" i="1"/>
  <c r="H83" i="1" s="1"/>
  <c r="I83" i="1" s="1"/>
  <c r="B84" i="1" l="1"/>
  <c r="D84" i="1"/>
  <c r="G84" i="1" l="1"/>
  <c r="C84" i="1"/>
  <c r="E84" i="1"/>
  <c r="H84" i="1" l="1"/>
  <c r="I84" i="1" s="1"/>
  <c r="B85" i="1" l="1"/>
  <c r="D85" i="1"/>
  <c r="E85" i="1" l="1"/>
  <c r="H85" i="1" s="1"/>
  <c r="I85" i="1" s="1"/>
  <c r="G85" i="1"/>
  <c r="C85" i="1"/>
  <c r="B86" i="1" l="1"/>
  <c r="D86" i="1"/>
  <c r="C86" i="1" l="1"/>
  <c r="E86" i="1"/>
  <c r="G86" i="1"/>
  <c r="H86" i="1" l="1"/>
  <c r="I86" i="1" s="1"/>
  <c r="D87" i="1" s="1"/>
  <c r="B87" i="1" l="1"/>
  <c r="G87" i="1" s="1"/>
  <c r="E87" i="1" l="1"/>
  <c r="H87" i="1" s="1"/>
  <c r="I87" i="1" s="1"/>
  <c r="C87" i="1"/>
  <c r="D88" i="1" l="1"/>
  <c r="B88" i="1"/>
  <c r="C88" i="1" s="1"/>
  <c r="G88" i="1" l="1"/>
  <c r="E88" i="1"/>
  <c r="H88" i="1" s="1"/>
  <c r="I88" i="1" s="1"/>
  <c r="B89" i="1" l="1"/>
  <c r="D89" i="1"/>
  <c r="C89" i="1"/>
  <c r="G89" i="1"/>
  <c r="E89" i="1"/>
  <c r="H89" i="1" l="1"/>
  <c r="I89" i="1" s="1"/>
  <c r="D90" i="1" s="1"/>
  <c r="B90" i="1" l="1"/>
  <c r="E90" i="1" s="1"/>
  <c r="C90" i="1" l="1"/>
  <c r="G90" i="1"/>
  <c r="H90" i="1" s="1"/>
  <c r="I90" i="1" s="1"/>
  <c r="B91" i="1" s="1"/>
  <c r="D91" i="1" l="1"/>
  <c r="E91" i="1"/>
  <c r="G91" i="1"/>
  <c r="C91" i="1"/>
  <c r="H91" i="1" l="1"/>
  <c r="I91" i="1" s="1"/>
  <c r="B92" i="1" s="1"/>
  <c r="D92" i="1" l="1"/>
  <c r="C92" i="1"/>
  <c r="E92" i="1"/>
  <c r="G92" i="1"/>
  <c r="H92" i="1" l="1"/>
  <c r="I92" i="1" s="1"/>
  <c r="D93" i="1" s="1"/>
  <c r="B93" i="1"/>
  <c r="C93" i="1" l="1"/>
  <c r="E93" i="1"/>
  <c r="G93" i="1"/>
  <c r="H93" i="1" l="1"/>
  <c r="I93" i="1" s="1"/>
  <c r="B94" i="1" s="1"/>
  <c r="D94" i="1" l="1"/>
  <c r="E94" i="1"/>
  <c r="G94" i="1"/>
  <c r="C94" i="1"/>
  <c r="H94" i="1" l="1"/>
  <c r="I94" i="1" s="1"/>
  <c r="B95" i="1" s="1"/>
  <c r="D95" i="1" l="1"/>
  <c r="C95" i="1"/>
  <c r="E95" i="1"/>
  <c r="G95" i="1"/>
  <c r="H95" i="1" l="1"/>
  <c r="I95" i="1" s="1"/>
  <c r="B96" i="1" s="1"/>
  <c r="D96" i="1" l="1"/>
  <c r="G96" i="1"/>
  <c r="C96" i="1"/>
  <c r="E96" i="1"/>
  <c r="H96" i="1" s="1"/>
  <c r="I96" i="1" s="1"/>
  <c r="B97" i="1" l="1"/>
  <c r="D97" i="1"/>
  <c r="G97" i="1" l="1"/>
  <c r="C97" i="1"/>
  <c r="E97" i="1"/>
  <c r="H97" i="1" s="1"/>
  <c r="I97" i="1" s="1"/>
  <c r="D98" i="1" l="1"/>
  <c r="B98" i="1"/>
  <c r="E98" i="1" l="1"/>
  <c r="G98" i="1"/>
  <c r="H98" i="1" s="1"/>
  <c r="I98" i="1" s="1"/>
  <c r="C98" i="1"/>
  <c r="B99" i="1" l="1"/>
  <c r="D99" i="1"/>
  <c r="C99" i="1" l="1"/>
  <c r="G99" i="1"/>
  <c r="E99" i="1"/>
  <c r="H99" i="1" s="1"/>
  <c r="I99" i="1" s="1"/>
  <c r="B100" i="1" l="1"/>
  <c r="D100" i="1"/>
  <c r="C100" i="1" l="1"/>
  <c r="E100" i="1"/>
  <c r="G100" i="1"/>
  <c r="H100" i="1" s="1"/>
  <c r="I100" i="1" s="1"/>
  <c r="B101" i="1" l="1"/>
  <c r="D101" i="1"/>
  <c r="C101" i="1" l="1"/>
  <c r="G101" i="1"/>
  <c r="E101" i="1"/>
  <c r="H101" i="1" l="1"/>
  <c r="I101" i="1" s="1"/>
  <c r="B102" i="1" s="1"/>
  <c r="D102" i="1" l="1"/>
  <c r="G102" i="1"/>
  <c r="E102" i="1"/>
  <c r="H102" i="1" s="1"/>
  <c r="I102" i="1" s="1"/>
  <c r="C102" i="1"/>
  <c r="B103" i="1" l="1"/>
  <c r="D103" i="1"/>
  <c r="E103" i="1" l="1"/>
  <c r="C103" i="1"/>
  <c r="G103" i="1"/>
  <c r="H103" i="1" l="1"/>
  <c r="I103" i="1" s="1"/>
  <c r="D104" i="1" l="1"/>
  <c r="B104" i="1"/>
  <c r="E104" i="1" l="1"/>
  <c r="C104" i="1"/>
  <c r="G104" i="1"/>
  <c r="H104" i="1" s="1"/>
  <c r="I104" i="1" s="1"/>
  <c r="D105" i="1" l="1"/>
  <c r="B105" i="1"/>
  <c r="E105" i="1" l="1"/>
  <c r="H105" i="1" s="1"/>
  <c r="I105" i="1" s="1"/>
  <c r="G105" i="1"/>
  <c r="C105" i="1"/>
  <c r="D106" i="1" l="1"/>
  <c r="B106" i="1"/>
  <c r="C106" i="1" l="1"/>
  <c r="E106" i="1"/>
  <c r="G106" i="1"/>
  <c r="H106" i="1" l="1"/>
  <c r="I106" i="1" s="1"/>
  <c r="D107" i="1" l="1"/>
  <c r="B107" i="1"/>
  <c r="E107" i="1" l="1"/>
  <c r="C107" i="1"/>
  <c r="G107" i="1"/>
  <c r="H107" i="1" l="1"/>
  <c r="I107" i="1" s="1"/>
  <c r="B108" i="1" s="1"/>
  <c r="D108" i="1" l="1"/>
  <c r="C108" i="1"/>
  <c r="E108" i="1"/>
  <c r="G108" i="1"/>
  <c r="H108" i="1" l="1"/>
  <c r="I108" i="1" s="1"/>
  <c r="B109" i="1" l="1"/>
  <c r="D109" i="1"/>
  <c r="E109" i="1" l="1"/>
  <c r="C109" i="1"/>
  <c r="G109" i="1"/>
  <c r="H109" i="1" s="1"/>
  <c r="I109" i="1" s="1"/>
  <c r="D110" i="1" l="1"/>
  <c r="B110" i="1"/>
  <c r="E110" i="1" l="1"/>
  <c r="C110" i="1"/>
  <c r="G110" i="1"/>
  <c r="H110" i="1" s="1"/>
  <c r="I110" i="1" s="1"/>
  <c r="B111" i="1" l="1"/>
  <c r="D111" i="1"/>
  <c r="E111" i="1" l="1"/>
  <c r="G111" i="1"/>
  <c r="H111" i="1" s="1"/>
  <c r="I111" i="1" s="1"/>
  <c r="C111" i="1"/>
  <c r="D112" i="1" l="1"/>
  <c r="B112" i="1"/>
  <c r="C112" i="1" l="1"/>
  <c r="E112" i="1"/>
  <c r="H112" i="1"/>
  <c r="I112" i="1"/>
  <c r="G112" i="1"/>
  <c r="B113" i="1" l="1"/>
  <c r="D113" i="1"/>
  <c r="G113" i="1" l="1"/>
  <c r="E113" i="1"/>
  <c r="H113" i="1" s="1"/>
  <c r="I113" i="1" s="1"/>
  <c r="C113" i="1"/>
  <c r="D114" i="1" l="1"/>
  <c r="B114" i="1"/>
  <c r="C114" i="1" l="1"/>
  <c r="E114" i="1"/>
  <c r="G114" i="1"/>
  <c r="H114" i="1" s="1"/>
  <c r="I114" i="1" s="1"/>
  <c r="B115" i="1" l="1"/>
  <c r="D115" i="1"/>
  <c r="G115" i="1" l="1"/>
  <c r="C115" i="1"/>
  <c r="E115" i="1"/>
  <c r="H115" i="1" s="1"/>
  <c r="I115" i="1" s="1"/>
  <c r="D116" i="1" l="1"/>
  <c r="B116" i="1"/>
  <c r="C116" i="1" l="1"/>
  <c r="G116" i="1"/>
  <c r="H116" i="1"/>
  <c r="E116" i="1"/>
  <c r="I116" i="1"/>
</calcChain>
</file>

<file path=xl/sharedStrings.xml><?xml version="1.0" encoding="utf-8"?>
<sst xmlns="http://schemas.openxmlformats.org/spreadsheetml/2006/main" count="35" uniqueCount="33">
  <si>
    <t>PLANTILLA DE CALENDARIO DE AMORTIZACIÓN DE PRÉSTAMOS</t>
  </si>
  <si>
    <t>MONTO DEL PRÉSTAMO</t>
  </si>
  <si>
    <t>TASA DE INTERÉS ANUAL</t>
  </si>
  <si>
    <t>DURACIÓN DEL PRÉSTAMO EN AÑOS</t>
  </si>
  <si>
    <t>FRECUENCIA DE PAGO</t>
  </si>
  <si>
    <t>Mensual</t>
  </si>
  <si>
    <t>PRIMERA FECHA DE PAGO</t>
  </si>
  <si>
    <t>Frecuencia</t>
  </si>
  <si>
    <t>Anual</t>
  </si>
  <si>
    <t>TASA DE INTERÉS MENSUAL</t>
  </si>
  <si>
    <t>Semestral</t>
  </si>
  <si>
    <t>MENSUALIDAD</t>
  </si>
  <si>
    <t>Trimestral</t>
  </si>
  <si>
    <t>NÚMERO DE PAGOS</t>
  </si>
  <si>
    <t>Bimestral</t>
  </si>
  <si>
    <t>INTERÉS TOTAL</t>
  </si>
  <si>
    <t>Períodos por año</t>
  </si>
  <si>
    <t>REDONDEO</t>
  </si>
  <si>
    <t>En</t>
  </si>
  <si>
    <t>meses por período</t>
  </si>
  <si>
    <t>número de períodos</t>
  </si>
  <si>
    <t>Quincenal</t>
  </si>
  <si>
    <t>Opción de redondeo</t>
  </si>
  <si>
    <t>Semanal</t>
  </si>
  <si>
    <t>CRONOGRAMA DE AMORTIZACIÓN DE PRÉSTAMOS</t>
  </si>
  <si>
    <t>PYMT #</t>
  </si>
  <si>
    <t>FECHA DE PAGO</t>
  </si>
  <si>
    <t>SALDO INICIAL</t>
  </si>
  <si>
    <t>PAGO PROGRAMADO</t>
  </si>
  <si>
    <t>PAGO ADICIONAL</t>
  </si>
  <si>
    <t>INTERÉS</t>
  </si>
  <si>
    <t>PRINCIPAL</t>
  </si>
  <si>
    <t>EQUILIBRAR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</si>
</sst>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$-409]#,##0.00;\-[$$-409]#,##0.00"/>
    <numFmt numFmtId="165" formatCode="&quot;$&quot;#,##0.00;&quot;$&quot;\(#,##0.00\)"/>
    <numFmt numFmtId="166" formatCode="#,##0.00%;\-#,##0.00%"/>
    <numFmt numFmtId="167" formatCode="_(&quot;$&quot;* #,##0_);_(&quot;$&quot;* \(#,##0\);_(&quot;$&quot;* &quot;-&quot;??_);_(@_)"/>
    <numFmt numFmtId="168" formatCode="#,##0.000%;\-#,##0.000%"/>
    <numFmt numFmtId="169" formatCode="yyyy\-mm\-dd"/>
  </numFmts>
  <fonts count="30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22"/>
      <color rgb="FFB86D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FFFFFF"/>
      <name val="Arial"/>
      <family val="2"/>
    </font>
    <font>
      <b/>
      <strike/>
      <sz val="9"/>
      <color rgb="FFFFFFFF"/>
      <name val="Arial"/>
      <family val="2"/>
    </font>
    <font>
      <b/>
      <sz val="9"/>
      <color rgb="FF000000"/>
      <name val="Arial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sz val="10"/>
      <color rgb="FFFFFFFF"/>
      <name val="Arial"/>
      <family val="2"/>
    </font>
    <font>
      <sz val="11"/>
      <color rgb="FFFFFFFF"/>
      <name val="Calibri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1"/>
      <name val="Calibri"/>
      <family val="2"/>
    </font>
    <font>
      <sz val="8"/>
      <color rgb="FF000000"/>
      <name val="Calibri"/>
      <family val="2"/>
    </font>
    <font>
      <sz val="16"/>
      <color rgb="FF000000"/>
      <name val="Arial"/>
      <family val="2"/>
    </font>
    <font>
      <sz val="16"/>
      <color rgb="FF000000"/>
      <name val="Calibri"/>
      <family val="2"/>
    </font>
    <font>
      <sz val="11"/>
      <name val="Arial"/>
      <family val="2"/>
    </font>
    <font>
      <sz val="11"/>
      <color theme="0"/>
      <name val="Calibri"/>
      <family val="2"/>
    </font>
    <font>
      <b/>
      <strike/>
      <sz val="10"/>
      <color rgb="FFFFFFFF"/>
      <name val="Arial"/>
      <family val="2"/>
    </font>
    <font>
      <b/>
      <sz val="10"/>
      <name val="Arial"/>
    </font>
    <font>
      <b/>
      <sz val="18"/>
      <color theme="1"/>
      <name val="Arial"/>
      <family val="2"/>
    </font>
    <font>
      <b/>
      <sz val="22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204559"/>
        <bgColor rgb="FF204559"/>
      </patternFill>
    </fill>
    <fill>
      <patternFill patternType="solid">
        <fgColor rgb="FFB0D0E2"/>
        <bgColor rgb="FFB0D0E2"/>
      </patternFill>
    </fill>
    <fill>
      <patternFill patternType="solid">
        <fgColor rgb="FF306786"/>
        <bgColor rgb="FF306786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E1EAA0"/>
      </patternFill>
    </fill>
    <fill>
      <patternFill patternType="solid">
        <fgColor theme="6" tint="0.79998168889431442"/>
        <bgColor rgb="FFF0F4CF"/>
      </patternFill>
    </fill>
    <fill>
      <patternFill patternType="solid">
        <fgColor theme="0"/>
        <bgColor rgb="FFF0F4CF"/>
      </patternFill>
    </fill>
    <fill>
      <patternFill patternType="solid">
        <fgColor theme="6" tint="0.59999389629810485"/>
        <bgColor rgb="FFE1EAA0"/>
      </patternFill>
    </fill>
    <fill>
      <patternFill patternType="solid">
        <fgColor theme="6" tint="0.39997558519241921"/>
        <bgColor rgb="FFE1EAA0"/>
      </patternFill>
    </fill>
    <fill>
      <patternFill patternType="solid">
        <fgColor theme="6" tint="-0.499984740745262"/>
        <bgColor rgb="FF535B13"/>
      </patternFill>
    </fill>
    <fill>
      <patternFill patternType="solid">
        <fgColor theme="6" tint="-0.249977111117893"/>
        <bgColor rgb="FF76923C"/>
      </patternFill>
    </fill>
    <fill>
      <patternFill patternType="solid">
        <fgColor theme="6" tint="-0.249977111117893"/>
        <bgColor rgb="FF7C891D"/>
      </patternFill>
    </fill>
    <fill>
      <patternFill patternType="solid">
        <fgColor theme="0"/>
        <bgColor rgb="FF30678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7C891D"/>
      </patternFill>
    </fill>
    <fill>
      <patternFill patternType="solid">
        <fgColor theme="0"/>
        <bgColor rgb="FFE1EAA0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 wrapText="1"/>
    </xf>
    <xf numFmtId="0" fontId="15" fillId="5" borderId="0" xfId="0" applyFont="1" applyFill="1" applyAlignment="1">
      <alignment horizontal="center" wrapText="1"/>
    </xf>
    <xf numFmtId="0" fontId="16" fillId="0" borderId="0" xfId="0" applyFont="1"/>
    <xf numFmtId="0" fontId="6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4" fillId="5" borderId="0" xfId="0" applyFont="1" applyFill="1"/>
    <xf numFmtId="0" fontId="0" fillId="5" borderId="0" xfId="0" applyFill="1" applyAlignment="1">
      <alignment vertical="center"/>
    </xf>
    <xf numFmtId="164" fontId="10" fillId="5" borderId="0" xfId="0" applyNumberFormat="1" applyFont="1" applyFill="1" applyAlignment="1">
      <alignment horizontal="right" vertical="center" wrapText="1"/>
    </xf>
    <xf numFmtId="0" fontId="4" fillId="5" borderId="0" xfId="0" applyFont="1" applyFill="1" applyAlignment="1">
      <alignment wrapText="1"/>
    </xf>
    <xf numFmtId="0" fontId="0" fillId="5" borderId="0" xfId="0" applyFill="1"/>
    <xf numFmtId="0" fontId="4" fillId="5" borderId="0" xfId="0" applyFont="1" applyFill="1" applyAlignment="1">
      <alignment vertical="center" wrapText="1"/>
    </xf>
    <xf numFmtId="0" fontId="12" fillId="5" borderId="0" xfId="0" applyFont="1" applyFill="1" applyAlignment="1">
      <alignment horizontal="left" vertical="center" wrapText="1"/>
    </xf>
    <xf numFmtId="0" fontId="20" fillId="5" borderId="0" xfId="0" applyFont="1" applyFill="1"/>
    <xf numFmtId="164" fontId="17" fillId="5" borderId="0" xfId="0" applyNumberFormat="1" applyFont="1" applyFill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vertical="center" wrapText="1"/>
    </xf>
    <xf numFmtId="0" fontId="7" fillId="0" borderId="0" xfId="0" applyFont="1"/>
    <xf numFmtId="0" fontId="24" fillId="5" borderId="0" xfId="0" applyFont="1" applyFill="1" applyAlignment="1">
      <alignment vertical="center" wrapText="1"/>
    </xf>
    <xf numFmtId="0" fontId="25" fillId="0" borderId="0" xfId="0" applyFont="1"/>
    <xf numFmtId="0" fontId="8" fillId="0" borderId="1" xfId="0" applyFont="1" applyBorder="1" applyAlignment="1">
      <alignment horizontal="left" vertical="center" wrapText="1" indent="1"/>
    </xf>
    <xf numFmtId="165" fontId="8" fillId="5" borderId="1" xfId="0" applyNumberFormat="1" applyFont="1" applyFill="1" applyBorder="1" applyAlignment="1">
      <alignment horizontal="right" vertical="center" wrapText="1"/>
    </xf>
    <xf numFmtId="165" fontId="8" fillId="0" borderId="1" xfId="0" applyNumberFormat="1" applyFont="1" applyBorder="1" applyAlignment="1">
      <alignment horizontal="right" vertical="center" wrapText="1"/>
    </xf>
    <xf numFmtId="164" fontId="8" fillId="6" borderId="1" xfId="0" applyNumberFormat="1" applyFont="1" applyFill="1" applyBorder="1" applyAlignment="1">
      <alignment horizontal="right" vertical="center" wrapText="1"/>
    </xf>
    <xf numFmtId="14" fontId="8" fillId="0" borderId="1" xfId="0" applyNumberFormat="1" applyFont="1" applyBorder="1" applyAlignment="1">
      <alignment horizontal="left" vertical="center" wrapText="1" indent="1"/>
    </xf>
    <xf numFmtId="0" fontId="6" fillId="13" borderId="1" xfId="0" applyFont="1" applyFill="1" applyBorder="1" applyAlignment="1">
      <alignment horizontal="center" vertical="center" wrapText="1"/>
    </xf>
    <xf numFmtId="164" fontId="27" fillId="10" borderId="1" xfId="0" applyNumberFormat="1" applyFont="1" applyFill="1" applyBorder="1" applyAlignment="1">
      <alignment horizontal="right" vertical="center" wrapText="1"/>
    </xf>
    <xf numFmtId="165" fontId="8" fillId="7" borderId="1" xfId="0" applyNumberFormat="1" applyFont="1" applyFill="1" applyBorder="1" applyAlignment="1">
      <alignment horizontal="right" vertical="center" wrapText="1"/>
    </xf>
    <xf numFmtId="167" fontId="8" fillId="6" borderId="1" xfId="0" applyNumberFormat="1" applyFont="1" applyFill="1" applyBorder="1" applyAlignment="1">
      <alignment vertical="center" wrapText="1"/>
    </xf>
    <xf numFmtId="168" fontId="17" fillId="0" borderId="1" xfId="0" applyNumberFormat="1" applyFont="1" applyBorder="1" applyAlignment="1">
      <alignment horizontal="right" vertical="center" wrapText="1" indent="1"/>
    </xf>
    <xf numFmtId="164" fontId="17" fillId="0" borderId="1" xfId="0" applyNumberFormat="1" applyFont="1" applyBorder="1" applyAlignment="1">
      <alignment horizontal="right" vertical="center" wrapText="1" indent="1"/>
    </xf>
    <xf numFmtId="0" fontId="17" fillId="0" borderId="1" xfId="0" applyFont="1" applyBorder="1" applyAlignment="1">
      <alignment horizontal="right" vertical="center" wrapText="1" indent="1"/>
    </xf>
    <xf numFmtId="169" fontId="8" fillId="0" borderId="1" xfId="0" applyNumberFormat="1" applyFont="1" applyBorder="1" applyAlignment="1">
      <alignment horizontal="left" vertical="center" wrapText="1" indent="1"/>
    </xf>
    <xf numFmtId="167" fontId="0" fillId="0" borderId="0" xfId="0" applyNumberFormat="1"/>
    <xf numFmtId="0" fontId="0" fillId="0" borderId="3" xfId="0" applyBorder="1"/>
    <xf numFmtId="0" fontId="0" fillId="0" borderId="2" xfId="0" applyBorder="1"/>
    <xf numFmtId="0" fontId="12" fillId="3" borderId="1" xfId="0" applyFont="1" applyFill="1" applyBorder="1" applyAlignment="1">
      <alignment horizontal="right" vertical="center" wrapText="1" indent="1"/>
    </xf>
    <xf numFmtId="0" fontId="6" fillId="5" borderId="0" xfId="0" applyFont="1" applyFill="1" applyAlignment="1">
      <alignment horizontal="left" vertical="center" wrapText="1"/>
    </xf>
    <xf numFmtId="0" fontId="0" fillId="0" borderId="0" xfId="0"/>
    <xf numFmtId="0" fontId="10" fillId="2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0" fillId="0" borderId="4" xfId="0" applyBorder="1"/>
    <xf numFmtId="0" fontId="6" fillId="4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/>
    </xf>
    <xf numFmtId="0" fontId="19" fillId="5" borderId="0" xfId="0" applyFont="1" applyFill="1" applyAlignment="1">
      <alignment horizontal="right" vertical="center" wrapText="1"/>
    </xf>
    <xf numFmtId="0" fontId="18" fillId="5" borderId="0" xfId="0" applyFont="1" applyFill="1" applyAlignment="1">
      <alignment horizontal="right" vertical="center" wrapText="1"/>
    </xf>
    <xf numFmtId="0" fontId="0" fillId="0" borderId="5" xfId="0" applyBorder="1"/>
    <xf numFmtId="0" fontId="6" fillId="14" borderId="0" xfId="0" applyFont="1" applyFill="1" applyBorder="1" applyAlignment="1">
      <alignment horizontal="right" vertical="center" wrapText="1" indent="1"/>
    </xf>
    <xf numFmtId="0" fontId="8" fillId="15" borderId="0" xfId="0" applyFont="1" applyFill="1" applyBorder="1" applyAlignment="1">
      <alignment horizontal="left" vertical="center" wrapText="1" indent="1"/>
    </xf>
    <xf numFmtId="0" fontId="6" fillId="16" borderId="0" xfId="0" applyFont="1" applyFill="1" applyBorder="1" applyAlignment="1">
      <alignment horizontal="right" vertical="center" wrapText="1" indent="1"/>
    </xf>
    <xf numFmtId="0" fontId="8" fillId="17" borderId="0" xfId="0" applyFont="1" applyFill="1" applyBorder="1" applyAlignment="1">
      <alignment horizontal="left" vertical="center" wrapText="1" indent="1"/>
    </xf>
    <xf numFmtId="0" fontId="0" fillId="15" borderId="0" xfId="0" applyFill="1" applyBorder="1"/>
    <xf numFmtId="0" fontId="12" fillId="17" borderId="0" xfId="0" applyFont="1" applyFill="1" applyBorder="1" applyAlignment="1">
      <alignment horizontal="right" vertical="center" wrapText="1" indent="1"/>
    </xf>
    <xf numFmtId="164" fontId="8" fillId="8" borderId="0" xfId="0" applyNumberFormat="1" applyFont="1" applyFill="1" applyBorder="1" applyAlignment="1">
      <alignment horizontal="right" vertical="center" wrapText="1" indent="1"/>
    </xf>
    <xf numFmtId="0" fontId="11" fillId="2" borderId="4" xfId="0" applyFont="1" applyFill="1" applyBorder="1" applyAlignment="1">
      <alignment horizontal="right" vertical="center" wrapText="1" indent="1"/>
    </xf>
    <xf numFmtId="0" fontId="26" fillId="2" borderId="4" xfId="0" applyFont="1" applyFill="1" applyBorder="1" applyAlignment="1">
      <alignment horizontal="right" vertical="center" wrapText="1" indent="1"/>
    </xf>
    <xf numFmtId="0" fontId="12" fillId="9" borderId="6" xfId="0" applyFont="1" applyFill="1" applyBorder="1" applyAlignment="1">
      <alignment horizontal="right" vertical="center" wrapText="1" indent="1"/>
    </xf>
    <xf numFmtId="0" fontId="0" fillId="0" borderId="7" xfId="0" applyBorder="1"/>
    <xf numFmtId="164" fontId="8" fillId="8" borderId="8" xfId="0" applyNumberFormat="1" applyFont="1" applyFill="1" applyBorder="1" applyAlignment="1">
      <alignment horizontal="right" vertical="center" wrapText="1" indent="1"/>
    </xf>
    <xf numFmtId="0" fontId="12" fillId="9" borderId="9" xfId="0" applyFont="1" applyFill="1" applyBorder="1" applyAlignment="1">
      <alignment horizontal="right" vertical="center" wrapText="1" indent="1"/>
    </xf>
    <xf numFmtId="166" fontId="8" fillId="6" borderId="10" xfId="0" applyNumberFormat="1" applyFont="1" applyFill="1" applyBorder="1" applyAlignment="1">
      <alignment horizontal="right" vertical="center" wrapText="1" indent="1"/>
    </xf>
    <xf numFmtId="0" fontId="8" fillId="6" borderId="10" xfId="0" applyFont="1" applyFill="1" applyBorder="1" applyAlignment="1">
      <alignment horizontal="right" vertical="center" wrapText="1" indent="1"/>
    </xf>
    <xf numFmtId="0" fontId="12" fillId="9" borderId="11" xfId="0" applyFont="1" applyFill="1" applyBorder="1" applyAlignment="1">
      <alignment horizontal="right" vertical="center" wrapText="1" indent="1"/>
    </xf>
    <xf numFmtId="0" fontId="0" fillId="0" borderId="12" xfId="0" applyBorder="1"/>
    <xf numFmtId="169" fontId="8" fillId="6" borderId="13" xfId="0" applyNumberFormat="1" applyFont="1" applyFill="1" applyBorder="1" applyAlignment="1">
      <alignment horizontal="right" vertical="center" wrapText="1" indent="1"/>
    </xf>
    <xf numFmtId="0" fontId="28" fillId="18" borderId="0" xfId="0" applyFont="1" applyFill="1"/>
    <xf numFmtId="0" fontId="29" fillId="18" borderId="0" xfId="0" applyFont="1" applyFill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535B13"/>
  </sheetPr>
  <dimension ref="A1:Z712"/>
  <sheetViews>
    <sheetView showGridLines="0" tabSelected="1" workbookViewId="0">
      <pane ySplit="2" topLeftCell="A53" activePane="bottomLeft" state="frozen"/>
      <selection pane="bottomLeft" activeCell="K6" sqref="K6"/>
    </sheetView>
  </sheetViews>
  <sheetFormatPr baseColWidth="10" defaultColWidth="15.140625" defaultRowHeight="15" customHeight="1" x14ac:dyDescent="0.25"/>
  <cols>
    <col min="1" max="1" width="3" customWidth="1"/>
    <col min="2" max="2" width="5.5703125" customWidth="1"/>
    <col min="3" max="3" width="12" customWidth="1"/>
    <col min="4" max="8" width="13.42578125" customWidth="1"/>
    <col min="9" max="9" width="17.5703125" customWidth="1"/>
    <col min="10" max="10" width="3" customWidth="1"/>
    <col min="11" max="11" width="16.85546875" customWidth="1"/>
    <col min="12" max="13" width="8.5703125" customWidth="1"/>
    <col min="14" max="14" width="1.5703125" customWidth="1"/>
    <col min="15" max="19" width="5.140625" customWidth="1"/>
    <col min="20" max="26" width="13.42578125" customWidth="1"/>
  </cols>
  <sheetData>
    <row r="1" spans="1:26" ht="12" customHeight="1" x14ac:dyDescent="0.25"/>
    <row r="2" spans="1:26" ht="22.5" customHeight="1" x14ac:dyDescent="0.4">
      <c r="A2" s="1"/>
      <c r="B2" s="78" t="s">
        <v>0</v>
      </c>
      <c r="C2" s="79"/>
      <c r="D2" s="79"/>
      <c r="E2" s="79"/>
      <c r="F2" s="79"/>
      <c r="G2" s="79"/>
      <c r="H2" s="79"/>
      <c r="I2" s="79"/>
      <c r="J2" s="79"/>
      <c r="K2" s="79"/>
      <c r="L2" s="2"/>
      <c r="M2" s="3"/>
    </row>
    <row r="3" spans="1:26" ht="21.95" customHeight="1" thickBot="1" x14ac:dyDescent="0.3">
      <c r="A3" s="4"/>
      <c r="B3" s="60"/>
      <c r="C3" s="60"/>
      <c r="D3" s="61"/>
      <c r="E3" s="61"/>
      <c r="F3" s="5"/>
      <c r="G3" s="65"/>
      <c r="H3" s="64"/>
      <c r="I3" s="66"/>
      <c r="J3" s="5"/>
      <c r="K3" s="5"/>
      <c r="L3" s="5"/>
      <c r="M3" s="5"/>
      <c r="N3" s="5"/>
    </row>
    <row r="4" spans="1:26" ht="21.95" customHeight="1" x14ac:dyDescent="0.25">
      <c r="A4" s="4"/>
      <c r="B4" s="60"/>
      <c r="C4" s="60"/>
      <c r="D4" s="61"/>
      <c r="E4" s="61"/>
      <c r="F4" s="5"/>
      <c r="G4" s="69" t="s">
        <v>1</v>
      </c>
      <c r="H4" s="70"/>
      <c r="I4" s="71">
        <v>35000000</v>
      </c>
      <c r="J4" s="5"/>
      <c r="K4" s="5"/>
      <c r="L4" s="5"/>
      <c r="M4" s="5"/>
      <c r="N4" s="5"/>
    </row>
    <row r="5" spans="1:26" ht="21.95" customHeight="1" x14ac:dyDescent="0.25">
      <c r="A5" s="4"/>
      <c r="B5" s="60"/>
      <c r="C5" s="60"/>
      <c r="D5" s="61"/>
      <c r="E5" s="61"/>
      <c r="F5" s="5"/>
      <c r="G5" s="72" t="s">
        <v>2</v>
      </c>
      <c r="H5" s="46"/>
      <c r="I5" s="73">
        <v>0.1812</v>
      </c>
      <c r="J5" s="5"/>
      <c r="K5" s="5"/>
      <c r="L5" s="5"/>
      <c r="M5" s="5"/>
      <c r="N5" s="5"/>
    </row>
    <row r="6" spans="1:26" ht="21.95" customHeight="1" x14ac:dyDescent="0.25">
      <c r="A6" s="4"/>
      <c r="B6" s="62"/>
      <c r="C6" s="62"/>
      <c r="D6" s="63"/>
      <c r="E6" s="63"/>
      <c r="F6" s="5"/>
      <c r="G6" s="72" t="s">
        <v>3</v>
      </c>
      <c r="H6" s="46"/>
      <c r="I6" s="74">
        <v>8</v>
      </c>
      <c r="J6" s="5"/>
      <c r="K6" s="5"/>
      <c r="L6" s="5"/>
      <c r="M6" s="5"/>
      <c r="N6" s="5"/>
    </row>
    <row r="7" spans="1:26" ht="21.95" customHeight="1" x14ac:dyDescent="0.25">
      <c r="A7" s="4"/>
      <c r="B7" s="62"/>
      <c r="C7" s="62"/>
      <c r="D7" s="63"/>
      <c r="E7" s="63"/>
      <c r="F7" s="5"/>
      <c r="G7" s="72" t="s">
        <v>4</v>
      </c>
      <c r="H7" s="46"/>
      <c r="I7" s="74" t="s">
        <v>5</v>
      </c>
      <c r="J7" s="5"/>
      <c r="K7" s="5"/>
      <c r="L7" s="5"/>
      <c r="M7" s="5"/>
      <c r="N7" s="5"/>
    </row>
    <row r="8" spans="1:26" ht="21.95" customHeight="1" thickBot="1" x14ac:dyDescent="0.3">
      <c r="A8" s="4"/>
      <c r="B8" s="62"/>
      <c r="C8" s="62"/>
      <c r="D8" s="63"/>
      <c r="E8" s="63"/>
      <c r="F8" s="6"/>
      <c r="G8" s="75" t="s">
        <v>6</v>
      </c>
      <c r="H8" s="76"/>
      <c r="I8" s="77">
        <v>46082</v>
      </c>
      <c r="J8" s="5"/>
      <c r="K8" s="5"/>
      <c r="L8" s="5"/>
      <c r="M8" s="5"/>
      <c r="N8" s="5"/>
    </row>
    <row r="9" spans="1:26" ht="8.1" customHeight="1" x14ac:dyDescent="0.25">
      <c r="A9" s="4"/>
      <c r="B9" s="7"/>
      <c r="C9" s="7"/>
      <c r="D9" s="7"/>
      <c r="E9" s="8"/>
      <c r="F9" s="9" t="s">
        <v>7</v>
      </c>
      <c r="G9" s="67"/>
      <c r="H9" s="59"/>
      <c r="I9" s="68"/>
      <c r="J9" s="5"/>
      <c r="K9" s="5"/>
      <c r="L9" s="5"/>
      <c r="M9" s="5"/>
      <c r="N9" s="5"/>
    </row>
    <row r="10" spans="1:26" ht="21.95" customHeight="1" x14ac:dyDescent="0.25">
      <c r="A10" s="3"/>
      <c r="B10" s="10"/>
      <c r="C10" s="11"/>
      <c r="D10" s="10"/>
      <c r="E10" s="10"/>
      <c r="F10" s="30" t="s">
        <v>8</v>
      </c>
      <c r="G10" s="47" t="s">
        <v>9</v>
      </c>
      <c r="H10" s="46"/>
      <c r="I10" s="40">
        <f>I5/12</f>
        <v>1.5100000000000001E-2</v>
      </c>
      <c r="J10" s="12"/>
    </row>
    <row r="11" spans="1:26" ht="21.95" customHeight="1" x14ac:dyDescent="0.25">
      <c r="A11" s="3"/>
      <c r="B11" s="10"/>
      <c r="C11" s="13"/>
      <c r="D11" s="14"/>
      <c r="E11" s="27"/>
      <c r="F11" s="30" t="s">
        <v>10</v>
      </c>
      <c r="G11" s="47" t="s">
        <v>11</v>
      </c>
      <c r="H11" s="46"/>
      <c r="I11" s="41">
        <f>ROUND(-PMT(I10,D16,I4),2)</f>
        <v>692860.94</v>
      </c>
      <c r="J11" s="12"/>
    </row>
    <row r="12" spans="1:26" ht="21.95" customHeight="1" x14ac:dyDescent="0.25">
      <c r="A12" s="3"/>
      <c r="B12" s="10"/>
      <c r="C12" s="13"/>
      <c r="D12" s="14"/>
      <c r="E12" s="27"/>
      <c r="F12" s="30" t="s">
        <v>12</v>
      </c>
      <c r="G12" s="47" t="s">
        <v>13</v>
      </c>
      <c r="H12" s="46"/>
      <c r="I12" s="42">
        <f>D16</f>
        <v>96</v>
      </c>
      <c r="J12" s="12"/>
    </row>
    <row r="13" spans="1:26" ht="21.95" customHeight="1" x14ac:dyDescent="0.25">
      <c r="A13" s="3"/>
      <c r="B13" s="10"/>
      <c r="C13" s="13"/>
      <c r="D13" s="14"/>
      <c r="E13" s="27"/>
      <c r="F13" s="30" t="s">
        <v>14</v>
      </c>
      <c r="G13" s="47" t="s">
        <v>15</v>
      </c>
      <c r="H13" s="46"/>
      <c r="I13" s="41">
        <f>SUM(G21:G51)</f>
        <v>14347125.34</v>
      </c>
      <c r="J13" s="12"/>
      <c r="K13" s="12"/>
      <c r="L13" s="12"/>
      <c r="M13" s="12"/>
    </row>
    <row r="14" spans="1:26" ht="21.75" hidden="1" customHeight="1" x14ac:dyDescent="0.25">
      <c r="A14" s="15"/>
      <c r="B14" s="58" t="s">
        <v>16</v>
      </c>
      <c r="C14" s="49"/>
      <c r="D14" s="16">
        <f t="array" ref="D14">INDEX({1;2;4;6;12;24;26;52},MATCH($I$7,$F$10:$F$17,0))</f>
        <v>12</v>
      </c>
      <c r="E14" s="29"/>
      <c r="F14" s="28" t="s">
        <v>5</v>
      </c>
      <c r="G14" s="48" t="s">
        <v>17</v>
      </c>
      <c r="H14" s="49"/>
      <c r="I14" s="17" t="s">
        <v>18</v>
      </c>
      <c r="J14" s="18"/>
      <c r="K14" s="18"/>
      <c r="L14" s="18"/>
      <c r="M14" s="18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21.75" hidden="1" customHeight="1" x14ac:dyDescent="0.25">
      <c r="A15" s="15"/>
      <c r="B15" s="57" t="s">
        <v>19</v>
      </c>
      <c r="C15" s="49"/>
      <c r="D15" s="16">
        <f>12/$D$14</f>
        <v>1</v>
      </c>
      <c r="E15" s="29"/>
      <c r="F15" s="28" t="s">
        <v>10</v>
      </c>
      <c r="G15" s="21"/>
      <c r="H15" s="22"/>
      <c r="I15" s="23"/>
      <c r="J15" s="18"/>
      <c r="K15" s="18"/>
      <c r="L15" s="18"/>
      <c r="M15" s="18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21.75" hidden="1" customHeight="1" x14ac:dyDescent="0.25">
      <c r="A16" s="15"/>
      <c r="B16" s="57" t="s">
        <v>20</v>
      </c>
      <c r="C16" s="49"/>
      <c r="D16" s="16">
        <f>$I$6*$D$14</f>
        <v>96</v>
      </c>
      <c r="E16" s="29"/>
      <c r="F16" s="28" t="s">
        <v>21</v>
      </c>
      <c r="G16" s="21"/>
      <c r="H16" s="22"/>
      <c r="I16" s="23"/>
      <c r="J16" s="18"/>
      <c r="K16" s="18"/>
      <c r="L16" s="18"/>
      <c r="M16" s="18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21.75" hidden="1" customHeight="1" x14ac:dyDescent="0.25">
      <c r="A17" s="15"/>
      <c r="B17" s="56" t="s">
        <v>22</v>
      </c>
      <c r="C17" s="49"/>
      <c r="D17" s="24" t="b">
        <f>(I14="En")</f>
        <v>1</v>
      </c>
      <c r="E17" s="20"/>
      <c r="F17" t="s">
        <v>23</v>
      </c>
      <c r="G17" s="21"/>
      <c r="H17" s="22"/>
      <c r="I17" s="23"/>
      <c r="J17" s="18"/>
      <c r="K17" s="18"/>
      <c r="L17" s="18"/>
      <c r="M17" s="18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21.75" customHeight="1" x14ac:dyDescent="0.35">
      <c r="A18" s="25"/>
      <c r="B18" s="50" t="s">
        <v>24</v>
      </c>
      <c r="C18" s="45"/>
      <c r="D18" s="45"/>
      <c r="E18" s="45"/>
      <c r="F18" s="45"/>
      <c r="G18" s="45"/>
      <c r="H18" s="45"/>
      <c r="I18" s="46"/>
      <c r="J18" s="26"/>
      <c r="K18" s="26"/>
      <c r="L18" s="26"/>
      <c r="M18" s="26"/>
      <c r="N18" s="26"/>
    </row>
    <row r="19" spans="1:26" ht="18" customHeight="1" x14ac:dyDescent="0.25">
      <c r="A19" s="3"/>
      <c r="B19" s="53" t="s">
        <v>25</v>
      </c>
      <c r="C19" s="53" t="s">
        <v>26</v>
      </c>
      <c r="D19" s="54" t="s">
        <v>27</v>
      </c>
      <c r="E19" s="51" t="s">
        <v>28</v>
      </c>
      <c r="F19" s="55" t="s">
        <v>29</v>
      </c>
      <c r="G19" s="51" t="s">
        <v>30</v>
      </c>
      <c r="H19" s="51" t="s">
        <v>31</v>
      </c>
      <c r="I19" s="36" t="s">
        <v>32</v>
      </c>
    </row>
    <row r="20" spans="1:26" ht="18" customHeight="1" x14ac:dyDescent="0.25">
      <c r="A20" s="15"/>
      <c r="B20" s="52"/>
      <c r="C20" s="52"/>
      <c r="D20" s="52"/>
      <c r="E20" s="52"/>
      <c r="F20" s="52"/>
      <c r="G20" s="52"/>
      <c r="H20" s="52"/>
      <c r="I20" s="37">
        <f>I4</f>
        <v>35000000</v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8" customHeight="1" x14ac:dyDescent="0.25">
      <c r="A21" s="3"/>
      <c r="B21" s="31">
        <v>1</v>
      </c>
      <c r="C21" s="35">
        <f>I8</f>
        <v>46082</v>
      </c>
      <c r="D21" s="32">
        <f>I4</f>
        <v>35000000</v>
      </c>
      <c r="E21" s="33">
        <f>IF(B21="","",IF($D$17,IF(OR(B21=$D$16,$I$11&gt;ROUND((1+$I$10)*I20,2)),ROUND((1+$I$10)*I20,2),$I$11),IF(OR(B21=$D$16,$I$11&gt;(1+$I$10)*I20),(I+$I$10)*I20,$I$11)))</f>
        <v>692860.94</v>
      </c>
      <c r="F21" s="34"/>
      <c r="G21" s="33">
        <f t="shared" ref="G21:G51" si="0">IF(B21="","",(IF($D$17,ROUND($I$10*I20,2),$I$10*I20)))</f>
        <v>528500</v>
      </c>
      <c r="H21" s="33">
        <f t="shared" ref="H21:H51" si="1">IF(B21="","",E21-G21+F21)</f>
        <v>164360.93999999994</v>
      </c>
      <c r="I21" s="38">
        <f t="shared" ref="I21:I51" si="2">IF(B21="","",I20-H21)</f>
        <v>34835639.060000002</v>
      </c>
    </row>
    <row r="22" spans="1:26" ht="18" customHeight="1" x14ac:dyDescent="0.25">
      <c r="A22" s="3"/>
      <c r="B22" s="31">
        <f t="shared" ref="B22:B51" si="3">IF(I21="","",IF($D$17,IF(OR(B21&gt;=$D$16,ROUND(I21,2)&lt;=0),"",B21+1),IF(OR(B21&gt;=$D$16,I21&lt;=0),"",B21+1)))</f>
        <v>2</v>
      </c>
      <c r="C22" s="43">
        <f>IF(B22="","",IF($D$14=26,IF(B22=1,$I$8,C21+14),IF($D$14=52,IF(B22=1,$I$8,C21+7),IF($D$14=24,IF(B22=1,$I$8,IF($I$8=EOMONTH($I$8,0),IF(ISODD(B22),EOMONTH(EDATE($I$8,(B22-1)/2),0),EDATE(DATE(YEAR($I$8),MONTH($I$8)+1,15),(B22-1)/2)),IF(DAY($I$8)=15,IF(ISODD(B22),EDATE($I$8,(B22-1)/2),EOMONTH(EDATE($I$8,(B22-1)/2),0)),IF(DAY($I$8)&lt;=14,IF(ISODD(B22),EDATE($I$8,(B22-1)/2),EDATE(MIN($I$8+15,EOMONTH($I$8,0)),(B22-1)/2)),EDATE(IF(ISODD(B22),$I$8,$I$8-15),B22/2))))),IF(B22=1,$I$8,EDATE($I$8,$D$15*(B22-1)))))))</f>
        <v>46113</v>
      </c>
      <c r="D22" s="32">
        <f t="shared" ref="D22:D51" si="4">IF(ISERROR(IF((ROUND(I21,1)&gt;0),I21,"")),"",(IF((ROUND(I21,1)&gt;0),I21,"")))</f>
        <v>34835639.060000002</v>
      </c>
      <c r="E22" s="33">
        <f>IF(B22="","",IF($D$17,IF(OR(B22=$D$16,$I$11&gt;ROUND((1+$I$10)*I21,2)),ROUND((1+$I$10)*I21,2),$I$11),IF(OR(B22=$D$16,$I$11&gt;(1+$I$10)*I21),(I+$I$10)*I21,$I$11)))</f>
        <v>692860.94</v>
      </c>
      <c r="F22" s="34"/>
      <c r="G22" s="33">
        <f t="shared" si="0"/>
        <v>526018.15</v>
      </c>
      <c r="H22" s="33">
        <f t="shared" si="1"/>
        <v>166842.78999999992</v>
      </c>
      <c r="I22" s="38">
        <f t="shared" si="2"/>
        <v>34668796.270000003</v>
      </c>
    </row>
    <row r="23" spans="1:26" ht="18" customHeight="1" x14ac:dyDescent="0.25">
      <c r="A23" s="3"/>
      <c r="B23" s="31">
        <f t="shared" si="3"/>
        <v>3</v>
      </c>
      <c r="C23" s="43">
        <f>IF(B23="","",IF($D$14=26,IF(B23=1,$I$8,C22+14),IF($D$14=52,IF(B23=1,$I$8,C22+7),IF($D$14=24,IF(B23=1,$I$8,IF($I$8=EOMONTH($I$8,0),IF(ISODD(B23),EOMONTH(EDATE($I$8,(B23-1)/2),0),EDATE(DATE(YEAR($I$8),MONTH($I$8)+1,15),(B23-1)/2)),IF(DAY($I$8)=15,IF(ISODD(B23),EDATE($I$8,(B23-1)/2),EOMONTH(EDATE($I$8,(B23-1)/2),0)),IF(DAY($I$8)&lt;=14,IF(ISODD(B23),EDATE($I$8,(B23-1)/2),EDATE(MIN($I$8+15,EOMONTH($I$8,0)),(B23-1)/2)),EDATE(IF(ISODD(B23),$I$8,$I$8-15),B23/2))))),IF(B23=1,$I$8,EDATE($I$8,$D$15*(B23-1)))))))</f>
        <v>46143</v>
      </c>
      <c r="D23" s="32">
        <f t="shared" si="4"/>
        <v>34668796.270000003</v>
      </c>
      <c r="E23" s="33">
        <f>IF(B23="","",IF($D$17,IF(OR(B23=$D$16,$I$11&gt;ROUND((1+$I$10)*I22,2)),ROUND((1+$I$10)*I22,2),$I$11),IF(OR(B23=$D$16,$I$11&gt;(1+$I$10)*I22),(I+$I$10)*I22,$I$11)))</f>
        <v>692860.94</v>
      </c>
      <c r="F23" s="34"/>
      <c r="G23" s="33">
        <f t="shared" si="0"/>
        <v>523498.82</v>
      </c>
      <c r="H23" s="33">
        <f t="shared" si="1"/>
        <v>169362.11999999994</v>
      </c>
      <c r="I23" s="38">
        <f t="shared" si="2"/>
        <v>34499434.150000006</v>
      </c>
    </row>
    <row r="24" spans="1:26" ht="18" customHeight="1" x14ac:dyDescent="0.25">
      <c r="A24" s="3"/>
      <c r="B24" s="31">
        <f t="shared" si="3"/>
        <v>4</v>
      </c>
      <c r="C24" s="43">
        <f>IF(B24="","",IF($D$14=26,IF(B24=1,$I$8,C23+14),IF($D$14=52,IF(B24=1,$I$8,C23+7),IF($D$14=24,IF(B24=1,$I$8,IF($I$8=EOMONTH($I$8,0),IF(ISODD(B24),EOMONTH(EDATE($I$8,(B24-1)/2),0),EDATE(DATE(YEAR($I$8),MONTH($I$8)+1,15),(B24-1)/2)),IF(DAY($I$8)=15,IF(ISODD(B24),EDATE($I$8,(B24-1)/2),EOMONTH(EDATE($I$8,(B24-1)/2),0)),IF(DAY($I$8)&lt;=14,IF(ISODD(B24),EDATE($I$8,(B24-1)/2),EDATE(MIN($I$8+15,EOMONTH($I$8,0)),(B24-1)/2)),EDATE(IF(ISODD(B24),$I$8,$I$8-15),B24/2))))),IF(B24=1,$I$8,EDATE($I$8,$D$15*(B24-1)))))))</f>
        <v>46174</v>
      </c>
      <c r="D24" s="32">
        <f t="shared" si="4"/>
        <v>34499434.150000006</v>
      </c>
      <c r="E24" s="33">
        <f>IF(B24="","",IF($D$17,IF(OR(B24=$D$16,$I$11&gt;ROUND((1+$I$10)*I23,2)),ROUND((1+$I$10)*I23,2),$I$11),IF(OR(B24=$D$16,$I$11&gt;(1+$I$10)*I23),(I+$I$10)*I23,$I$11)))</f>
        <v>692860.94</v>
      </c>
      <c r="F24" s="34"/>
      <c r="G24" s="33">
        <f t="shared" si="0"/>
        <v>520941.46</v>
      </c>
      <c r="H24" s="33">
        <f t="shared" si="1"/>
        <v>171919.47999999992</v>
      </c>
      <c r="I24" s="38">
        <f t="shared" si="2"/>
        <v>34327514.670000009</v>
      </c>
    </row>
    <row r="25" spans="1:26" ht="18" customHeight="1" x14ac:dyDescent="0.25">
      <c r="A25" s="3"/>
      <c r="B25" s="31">
        <f t="shared" si="3"/>
        <v>5</v>
      </c>
      <c r="C25" s="43">
        <f>IF(B25="","",IF($D$14=26,IF(B25=1,$I$8,C24+14),IF($D$14=52,IF(B25=1,$I$8,C24+7),IF($D$14=24,IF(B25=1,$I$8,IF($I$8=EOMONTH($I$8,0),IF(ISODD(B25),EOMONTH(EDATE($I$8,(B25-1)/2),0),EDATE(DATE(YEAR($I$8),MONTH($I$8)+1,15),(B25-1)/2)),IF(DAY($I$8)=15,IF(ISODD(B25),EDATE($I$8,(B25-1)/2),EOMONTH(EDATE($I$8,(B25-1)/2),0)),IF(DAY($I$8)&lt;=14,IF(ISODD(B25),EDATE($I$8,(B25-1)/2),EDATE(MIN($I$8+15,EOMONTH($I$8,0)),(B25-1)/2)),EDATE(IF(ISODD(B25),$I$8,$I$8-15),B25/2))))),IF(B25=1,$I$8,EDATE($I$8,$D$15*(B25-1)))))))</f>
        <v>46204</v>
      </c>
      <c r="D25" s="32">
        <f t="shared" si="4"/>
        <v>34327514.670000009</v>
      </c>
      <c r="E25" s="33">
        <f>IF(B25="","",IF($D$17,IF(OR(B25=$D$16,$I$11&gt;ROUND((1+$I$10)*I24,2)),ROUND((1+$I$10)*I24,2),$I$11),IF(OR(B25=$D$16,$I$11&gt;(1+$I$10)*I24),(I+$I$10)*I24,$I$11)))</f>
        <v>692860.94</v>
      </c>
      <c r="F25" s="34">
        <v>1000000</v>
      </c>
      <c r="G25" s="33">
        <f t="shared" si="0"/>
        <v>518345.47</v>
      </c>
      <c r="H25" s="33">
        <f t="shared" si="1"/>
        <v>1174515.47</v>
      </c>
      <c r="I25" s="38">
        <f t="shared" si="2"/>
        <v>33152999.20000001</v>
      </c>
      <c r="K25" s="44">
        <f>+F25+F36+F48+F65</f>
        <v>6500000</v>
      </c>
    </row>
    <row r="26" spans="1:26" ht="18" customHeight="1" x14ac:dyDescent="0.25">
      <c r="A26" s="3"/>
      <c r="B26" s="31">
        <f t="shared" si="3"/>
        <v>6</v>
      </c>
      <c r="C26" s="43">
        <f>IF(B26="","",IF($D$14=26,IF(B26=1,$I$8,C25+14),IF($D$14=52,IF(B26=1,$I$8,C25+7),IF($D$14=24,IF(B26=1,$I$8,IF($I$8=EOMONTH($I$8,0),IF(ISODD(B26),EOMONTH(EDATE($I$8,(B26-1)/2),0),EDATE(DATE(YEAR($I$8),MONTH($I$8)+1,15),(B26-1)/2)),IF(DAY($I$8)=15,IF(ISODD(B26),EDATE($I$8,(B26-1)/2),EOMONTH(EDATE($I$8,(B26-1)/2),0)),IF(DAY($I$8)&lt;=14,IF(ISODD(B26),EDATE($I$8,(B26-1)/2),EDATE(MIN($I$8+15,EOMONTH($I$8,0)),(B26-1)/2)),EDATE(IF(ISODD(B26),$I$8,$I$8-15),B26/2))))),IF(B26=1,$I$8,EDATE($I$8,$D$15*(B26-1)))))))</f>
        <v>46235</v>
      </c>
      <c r="D26" s="32">
        <f t="shared" si="4"/>
        <v>33152999.20000001</v>
      </c>
      <c r="E26" s="33">
        <f>IF(B26="","",IF($D$17,IF(OR(B26=$D$16,$I$11&gt;ROUND((1+$I$10)*I25,2)),ROUND((1+$I$10)*I25,2),$I$11),IF(OR(B26=$D$16,$I$11&gt;(1+$I$10)*I25),(I+$I$10)*I25,$I$11)))</f>
        <v>692860.94</v>
      </c>
      <c r="F26" s="34"/>
      <c r="G26" s="33">
        <f t="shared" si="0"/>
        <v>500610.29</v>
      </c>
      <c r="H26" s="33">
        <f t="shared" si="1"/>
        <v>192250.64999999997</v>
      </c>
      <c r="I26" s="38">
        <f t="shared" si="2"/>
        <v>32960748.550000012</v>
      </c>
      <c r="K26" s="44">
        <f>12546000-K25</f>
        <v>6046000</v>
      </c>
    </row>
    <row r="27" spans="1:26" ht="18" customHeight="1" x14ac:dyDescent="0.25">
      <c r="A27" s="3"/>
      <c r="B27" s="31">
        <f t="shared" si="3"/>
        <v>7</v>
      </c>
      <c r="C27" s="43">
        <f>IF(B27="","",IF($D$14=26,IF(B27=1,$I$8,C26+14),IF($D$14=52,IF(B27=1,$I$8,C26+7),IF($D$14=24,IF(B27=1,$I$8,IF($I$8=EOMONTH($I$8,0),IF(ISODD(B27),EOMONTH(EDATE($I$8,(B27-1)/2),0),EDATE(DATE(YEAR($I$8),MONTH($I$8)+1,15),(B27-1)/2)),IF(DAY($I$8)=15,IF(ISODD(B27),EDATE($I$8,(B27-1)/2),EOMONTH(EDATE($I$8,(B27-1)/2),0)),IF(DAY($I$8)&lt;=14,IF(ISODD(B27),EDATE($I$8,(B27-1)/2),EDATE(MIN($I$8+15,EOMONTH($I$8,0)),(B27-1)/2)),EDATE(IF(ISODD(B27),$I$8,$I$8-15),B27/2))))),IF(B27=1,$I$8,EDATE($I$8,$D$15*(B27-1)))))))</f>
        <v>46266</v>
      </c>
      <c r="D27" s="32">
        <f t="shared" si="4"/>
        <v>32960748.550000012</v>
      </c>
      <c r="E27" s="33">
        <f>IF(B27="","",IF($D$17,IF(OR(B27=$D$16,$I$11&gt;ROUND((1+$I$10)*I26,2)),ROUND((1+$I$10)*I26,2),$I$11),IF(OR(B27=$D$16,$I$11&gt;(1+$I$10)*I26),(I+$I$10)*I26,$I$11)))</f>
        <v>692860.94</v>
      </c>
      <c r="F27" s="34"/>
      <c r="G27" s="33">
        <f t="shared" si="0"/>
        <v>497707.3</v>
      </c>
      <c r="H27" s="33">
        <f t="shared" si="1"/>
        <v>195153.63999999996</v>
      </c>
      <c r="I27" s="38">
        <f t="shared" si="2"/>
        <v>32765594.910000011</v>
      </c>
    </row>
    <row r="28" spans="1:26" ht="18" customHeight="1" x14ac:dyDescent="0.25">
      <c r="A28" s="3"/>
      <c r="B28" s="31">
        <f t="shared" si="3"/>
        <v>8</v>
      </c>
      <c r="C28" s="43">
        <f>IF(B28="","",IF($D$14=26,IF(B28=1,$I$8,C27+14),IF($D$14=52,IF(B28=1,$I$8,C27+7),IF($D$14=24,IF(B28=1,$I$8,IF($I$8=EOMONTH($I$8,0),IF(ISODD(B28),EOMONTH(EDATE($I$8,(B28-1)/2),0),EDATE(DATE(YEAR($I$8),MONTH($I$8)+1,15),(B28-1)/2)),IF(DAY($I$8)=15,IF(ISODD(B28),EDATE($I$8,(B28-1)/2),EOMONTH(EDATE($I$8,(B28-1)/2),0)),IF(DAY($I$8)&lt;=14,IF(ISODD(B28),EDATE($I$8,(B28-1)/2),EDATE(MIN($I$8+15,EOMONTH($I$8,0)),(B28-1)/2)),EDATE(IF(ISODD(B28),$I$8,$I$8-15),B28/2))))),IF(B28=1,$I$8,EDATE($I$8,$D$15*(B28-1)))))))</f>
        <v>46296</v>
      </c>
      <c r="D28" s="32">
        <f t="shared" si="4"/>
        <v>32765594.910000011</v>
      </c>
      <c r="E28" s="33">
        <f>IF(B28="","",IF($D$17,IF(OR(B28=$D$16,$I$11&gt;ROUND((1+$I$10)*I27,2)),ROUND((1+$I$10)*I27,2),$I$11),IF(OR(B28=$D$16,$I$11&gt;(1+$I$10)*I27),(I+$I$10)*I27,$I$11)))</f>
        <v>692860.94</v>
      </c>
      <c r="F28" s="34"/>
      <c r="G28" s="33">
        <f t="shared" si="0"/>
        <v>494760.48</v>
      </c>
      <c r="H28" s="33">
        <f t="shared" si="1"/>
        <v>198100.45999999996</v>
      </c>
      <c r="I28" s="38">
        <f t="shared" si="2"/>
        <v>32567494.45000001</v>
      </c>
    </row>
    <row r="29" spans="1:26" ht="18" customHeight="1" x14ac:dyDescent="0.25">
      <c r="A29" s="3"/>
      <c r="B29" s="31">
        <f t="shared" si="3"/>
        <v>9</v>
      </c>
      <c r="C29" s="43">
        <f>IF(B29="","",IF($D$14=26,IF(B29=1,$I$8,C28+14),IF($D$14=52,IF(B29=1,$I$8,C28+7),IF($D$14=24,IF(B29=1,$I$8,IF($I$8=EOMONTH($I$8,0),IF(ISODD(B29),EOMONTH(EDATE($I$8,(B29-1)/2),0),EDATE(DATE(YEAR($I$8),MONTH($I$8)+1,15),(B29-1)/2)),IF(DAY($I$8)=15,IF(ISODD(B29),EDATE($I$8,(B29-1)/2),EOMONTH(EDATE($I$8,(B29-1)/2),0)),IF(DAY($I$8)&lt;=14,IF(ISODD(B29),EDATE($I$8,(B29-1)/2),EDATE(MIN($I$8+15,EOMONTH($I$8,0)),(B29-1)/2)),EDATE(IF(ISODD(B29),$I$8,$I$8-15),B29/2))))),IF(B29=1,$I$8,EDATE($I$8,$D$15*(B29-1)))))))</f>
        <v>46327</v>
      </c>
      <c r="D29" s="32">
        <f t="shared" si="4"/>
        <v>32567494.45000001</v>
      </c>
      <c r="E29" s="33">
        <f>IF(B29="","",IF($D$17,IF(OR(B29=$D$16,$I$11&gt;ROUND((1+$I$10)*I28,2)),ROUND((1+$I$10)*I28,2),$I$11),IF(OR(B29=$D$16,$I$11&gt;(1+$I$10)*I28),(I+$I$10)*I28,$I$11)))</f>
        <v>692860.94</v>
      </c>
      <c r="F29" s="34"/>
      <c r="G29" s="33">
        <f t="shared" si="0"/>
        <v>491769.17</v>
      </c>
      <c r="H29" s="33">
        <f t="shared" si="1"/>
        <v>201091.76999999996</v>
      </c>
      <c r="I29" s="38">
        <f t="shared" si="2"/>
        <v>32366402.680000011</v>
      </c>
    </row>
    <row r="30" spans="1:26" ht="18" customHeight="1" x14ac:dyDescent="0.25">
      <c r="A30" s="3"/>
      <c r="B30" s="31">
        <f t="shared" si="3"/>
        <v>10</v>
      </c>
      <c r="C30" s="43">
        <f>IF(B30="","",IF($D$14=26,IF(B30=1,$I$8,C29+14),IF($D$14=52,IF(B30=1,$I$8,C29+7),IF($D$14=24,IF(B30=1,$I$8,IF($I$8=EOMONTH($I$8,0),IF(ISODD(B30),EOMONTH(EDATE($I$8,(B30-1)/2),0),EDATE(DATE(YEAR($I$8),MONTH($I$8)+1,15),(B30-1)/2)),IF(DAY($I$8)=15,IF(ISODD(B30),EDATE($I$8,(B30-1)/2),EOMONTH(EDATE($I$8,(B30-1)/2),0)),IF(DAY($I$8)&lt;=14,IF(ISODD(B30),EDATE($I$8,(B30-1)/2),EDATE(MIN($I$8+15,EOMONTH($I$8,0)),(B30-1)/2)),EDATE(IF(ISODD(B30),$I$8,$I$8-15),B30/2))))),IF(B30=1,$I$8,EDATE($I$8,$D$15*(B30-1)))))))</f>
        <v>46357</v>
      </c>
      <c r="D30" s="32">
        <f t="shared" si="4"/>
        <v>32366402.680000011</v>
      </c>
      <c r="E30" s="33">
        <f>IF(B30="","",IF($D$17,IF(OR(B30=$D$16,$I$11&gt;ROUND((1+$I$10)*I29,2)),ROUND((1+$I$10)*I29,2),$I$11),IF(OR(B30=$D$16,$I$11&gt;(1+$I$10)*I29),(I+$I$10)*I29,$I$11)))</f>
        <v>692860.94</v>
      </c>
      <c r="F30" s="34"/>
      <c r="G30" s="33">
        <f t="shared" si="0"/>
        <v>488732.68</v>
      </c>
      <c r="H30" s="33">
        <f t="shared" si="1"/>
        <v>204128.25999999995</v>
      </c>
      <c r="I30" s="38">
        <f t="shared" si="2"/>
        <v>32162274.420000009</v>
      </c>
    </row>
    <row r="31" spans="1:26" ht="18" customHeight="1" x14ac:dyDescent="0.25">
      <c r="A31" s="3"/>
      <c r="B31" s="31">
        <f t="shared" si="3"/>
        <v>11</v>
      </c>
      <c r="C31" s="43">
        <f>IF(B31="","",IF($D$14=26,IF(B31=1,$I$8,C30+14),IF($D$14=52,IF(B31=1,$I$8,C30+7),IF($D$14=24,IF(B31=1,$I$8,IF($I$8=EOMONTH($I$8,0),IF(ISODD(B31),EOMONTH(EDATE($I$8,(B31-1)/2),0),EDATE(DATE(YEAR($I$8),MONTH($I$8)+1,15),(B31-1)/2)),IF(DAY($I$8)=15,IF(ISODD(B31),EDATE($I$8,(B31-1)/2),EOMONTH(EDATE($I$8,(B31-1)/2),0)),IF(DAY($I$8)&lt;=14,IF(ISODD(B31),EDATE($I$8,(B31-1)/2),EDATE(MIN($I$8+15,EOMONTH($I$8,0)),(B31-1)/2)),EDATE(IF(ISODD(B31),$I$8,$I$8-15),B31/2))))),IF(B31=1,$I$8,EDATE($I$8,$D$15*(B31-1)))))))</f>
        <v>46388</v>
      </c>
      <c r="D31" s="32">
        <f t="shared" si="4"/>
        <v>32162274.420000009</v>
      </c>
      <c r="E31" s="33">
        <f>IF(B31="","",IF($D$17,IF(OR(B31=$D$16,$I$11&gt;ROUND((1+$I$10)*I30,2)),ROUND((1+$I$10)*I30,2),$I$11),IF(OR(B31=$D$16,$I$11&gt;(1+$I$10)*I30),(I+$I$10)*I30,$I$11)))</f>
        <v>692860.94</v>
      </c>
      <c r="F31" s="34"/>
      <c r="G31" s="33">
        <f t="shared" si="0"/>
        <v>485650.34</v>
      </c>
      <c r="H31" s="33">
        <f t="shared" si="1"/>
        <v>207210.59999999992</v>
      </c>
      <c r="I31" s="38">
        <f t="shared" si="2"/>
        <v>31955063.820000008</v>
      </c>
    </row>
    <row r="32" spans="1:26" ht="18" customHeight="1" x14ac:dyDescent="0.25">
      <c r="A32" s="3"/>
      <c r="B32" s="31">
        <f t="shared" si="3"/>
        <v>12</v>
      </c>
      <c r="C32" s="43">
        <f>IF(B32="","",IF($D$14=26,IF(B32=1,$I$8,C31+14),IF($D$14=52,IF(B32=1,$I$8,C31+7),IF($D$14=24,IF(B32=1,$I$8,IF($I$8=EOMONTH($I$8,0),IF(ISODD(B32),EOMONTH(EDATE($I$8,(B32-1)/2),0),EDATE(DATE(YEAR($I$8),MONTH($I$8)+1,15),(B32-1)/2)),IF(DAY($I$8)=15,IF(ISODD(B32),EDATE($I$8,(B32-1)/2),EOMONTH(EDATE($I$8,(B32-1)/2),0)),IF(DAY($I$8)&lt;=14,IF(ISODD(B32),EDATE($I$8,(B32-1)/2),EDATE(MIN($I$8+15,EOMONTH($I$8,0)),(B32-1)/2)),EDATE(IF(ISODD(B32),$I$8,$I$8-15),B32/2))))),IF(B32=1,$I$8,EDATE($I$8,$D$15*(B32-1)))))))</f>
        <v>46419</v>
      </c>
      <c r="D32" s="32">
        <f t="shared" si="4"/>
        <v>31955063.820000008</v>
      </c>
      <c r="E32" s="33">
        <f>IF(B32="","",IF($D$17,IF(OR(B32=$D$16,$I$11&gt;ROUND((1+$I$10)*I31,2)),ROUND((1+$I$10)*I31,2),$I$11),IF(OR(B32=$D$16,$I$11&gt;(1+$I$10)*I31),(I+$I$10)*I31,$I$11)))</f>
        <v>692860.94</v>
      </c>
      <c r="F32" s="34"/>
      <c r="G32" s="33">
        <f t="shared" si="0"/>
        <v>482521.46</v>
      </c>
      <c r="H32" s="33">
        <f t="shared" si="1"/>
        <v>210339.47999999992</v>
      </c>
      <c r="I32" s="38">
        <f t="shared" si="2"/>
        <v>31744724.340000007</v>
      </c>
    </row>
    <row r="33" spans="1:9" ht="18" customHeight="1" x14ac:dyDescent="0.25">
      <c r="A33" s="3"/>
      <c r="B33" s="31">
        <f t="shared" si="3"/>
        <v>13</v>
      </c>
      <c r="C33" s="43">
        <f>IF(B33="","",IF($D$14=26,IF(B33=1,$I$8,C32+14),IF($D$14=52,IF(B33=1,$I$8,C32+7),IF($D$14=24,IF(B33=1,$I$8,IF($I$8=EOMONTH($I$8,0),IF(ISODD(B33),EOMONTH(EDATE($I$8,(B33-1)/2),0),EDATE(DATE(YEAR($I$8),MONTH($I$8)+1,15),(B33-1)/2)),IF(DAY($I$8)=15,IF(ISODD(B33),EDATE($I$8,(B33-1)/2),EOMONTH(EDATE($I$8,(B33-1)/2),0)),IF(DAY($I$8)&lt;=14,IF(ISODD(B33),EDATE($I$8,(B33-1)/2),EDATE(MIN($I$8+15,EOMONTH($I$8,0)),(B33-1)/2)),EDATE(IF(ISODD(B33),$I$8,$I$8-15),B33/2))))),IF(B33=1,$I$8,EDATE($I$8,$D$15*(B33-1)))))))</f>
        <v>46447</v>
      </c>
      <c r="D33" s="32">
        <f t="shared" si="4"/>
        <v>31744724.340000007</v>
      </c>
      <c r="E33" s="33">
        <f>IF(B33="","",IF($D$17,IF(OR(B33=$D$16,$I$11&gt;ROUND((1+$I$10)*I32,2)),ROUND((1+$I$10)*I32,2),$I$11),IF(OR(B33=$D$16,$I$11&gt;(1+$I$10)*I32),(I+$I$10)*I32,$I$11)))</f>
        <v>692860.94</v>
      </c>
      <c r="F33" s="39"/>
      <c r="G33" s="33">
        <f t="shared" si="0"/>
        <v>479345.34</v>
      </c>
      <c r="H33" s="33">
        <f t="shared" si="1"/>
        <v>213515.59999999992</v>
      </c>
      <c r="I33" s="38">
        <f t="shared" si="2"/>
        <v>31531208.740000006</v>
      </c>
    </row>
    <row r="34" spans="1:9" ht="18" customHeight="1" x14ac:dyDescent="0.25">
      <c r="A34" s="3"/>
      <c r="B34" s="31">
        <f t="shared" si="3"/>
        <v>14</v>
      </c>
      <c r="C34" s="43">
        <f>IF(B34="","",IF($D$14=26,IF(B34=1,$I$8,C33+14),IF($D$14=52,IF(B34=1,$I$8,C33+7),IF($D$14=24,IF(B34=1,$I$8,IF($I$8=EOMONTH($I$8,0),IF(ISODD(B34),EOMONTH(EDATE($I$8,(B34-1)/2),0),EDATE(DATE(YEAR($I$8),MONTH($I$8)+1,15),(B34-1)/2)),IF(DAY($I$8)=15,IF(ISODD(B34),EDATE($I$8,(B34-1)/2),EOMONTH(EDATE($I$8,(B34-1)/2),0)),IF(DAY($I$8)&lt;=14,IF(ISODD(B34),EDATE($I$8,(B34-1)/2),EDATE(MIN($I$8+15,EOMONTH($I$8,0)),(B34-1)/2)),EDATE(IF(ISODD(B34),$I$8,$I$8-15),B34/2))))),IF(B34=1,$I$8,EDATE($I$8,$D$15*(B34-1)))))))</f>
        <v>46478</v>
      </c>
      <c r="D34" s="32">
        <f t="shared" si="4"/>
        <v>31531208.740000006</v>
      </c>
      <c r="E34" s="33">
        <f>IF(B34="","",IF($D$17,IF(OR(B34=$D$16,$I$11&gt;ROUND((1+$I$10)*I33,2)),ROUND((1+$I$10)*I33,2),$I$11),IF(OR(B34=$D$16,$I$11&gt;(1+$I$10)*I33),(I+$I$10)*I33,$I$11)))</f>
        <v>692860.94</v>
      </c>
      <c r="F34" s="39"/>
      <c r="G34" s="33">
        <f t="shared" si="0"/>
        <v>476121.25</v>
      </c>
      <c r="H34" s="33">
        <f t="shared" si="1"/>
        <v>216739.68999999994</v>
      </c>
      <c r="I34" s="38">
        <f t="shared" si="2"/>
        <v>31314469.050000004</v>
      </c>
    </row>
    <row r="35" spans="1:9" ht="18" customHeight="1" x14ac:dyDescent="0.25">
      <c r="A35" s="3"/>
      <c r="B35" s="31">
        <f t="shared" si="3"/>
        <v>15</v>
      </c>
      <c r="C35" s="43">
        <f>IF(B35="","",IF($D$14=26,IF(B35=1,$I$8,C34+14),IF($D$14=52,IF(B35=1,$I$8,C34+7),IF($D$14=24,IF(B35=1,$I$8,IF($I$8=EOMONTH($I$8,0),IF(ISODD(B35),EOMONTH(EDATE($I$8,(B35-1)/2),0),EDATE(DATE(YEAR($I$8),MONTH($I$8)+1,15),(B35-1)/2)),IF(DAY($I$8)=15,IF(ISODD(B35),EDATE($I$8,(B35-1)/2),EOMONTH(EDATE($I$8,(B35-1)/2),0)),IF(DAY($I$8)&lt;=14,IF(ISODD(B35),EDATE($I$8,(B35-1)/2),EDATE(MIN($I$8+15,EOMONTH($I$8,0)),(B35-1)/2)),EDATE(IF(ISODD(B35),$I$8,$I$8-15),B35/2))))),IF(B35=1,$I$8,EDATE($I$8,$D$15*(B35-1)))))))</f>
        <v>46508</v>
      </c>
      <c r="D35" s="32">
        <f t="shared" si="4"/>
        <v>31314469.050000004</v>
      </c>
      <c r="E35" s="33">
        <f>IF(B35="","",IF($D$17,IF(OR(B35=$D$16,$I$11&gt;ROUND((1+$I$10)*I34,2)),ROUND((1+$I$10)*I34,2),$I$11),IF(OR(B35=$D$16,$I$11&gt;(1+$I$10)*I34),(I+$I$10)*I34,$I$11)))</f>
        <v>692860.94</v>
      </c>
      <c r="F35" s="39"/>
      <c r="G35" s="33">
        <f t="shared" si="0"/>
        <v>472848.48</v>
      </c>
      <c r="H35" s="33">
        <f t="shared" si="1"/>
        <v>220012.45999999996</v>
      </c>
      <c r="I35" s="38">
        <f t="shared" si="2"/>
        <v>31094456.590000004</v>
      </c>
    </row>
    <row r="36" spans="1:9" ht="18" customHeight="1" x14ac:dyDescent="0.25">
      <c r="A36" s="3"/>
      <c r="B36" s="31">
        <f t="shared" si="3"/>
        <v>16</v>
      </c>
      <c r="C36" s="43">
        <f>IF(B36="","",IF($D$14=26,IF(B36=1,$I$8,C35+14),IF($D$14=52,IF(B36=1,$I$8,C35+7),IF($D$14=24,IF(B36=1,$I$8,IF($I$8=EOMONTH($I$8,0),IF(ISODD(B36),EOMONTH(EDATE($I$8,(B36-1)/2),0),EDATE(DATE(YEAR($I$8),MONTH($I$8)+1,15),(B36-1)/2)),IF(DAY($I$8)=15,IF(ISODD(B36),EDATE($I$8,(B36-1)/2),EOMONTH(EDATE($I$8,(B36-1)/2),0)),IF(DAY($I$8)&lt;=14,IF(ISODD(B36),EDATE($I$8,(B36-1)/2),EDATE(MIN($I$8+15,EOMONTH($I$8,0)),(B36-1)/2)),EDATE(IF(ISODD(B36),$I$8,$I$8-15),B36/2))))),IF(B36=1,$I$8,EDATE($I$8,$D$15*(B36-1)))))))</f>
        <v>46539</v>
      </c>
      <c r="D36" s="32">
        <f t="shared" si="4"/>
        <v>31094456.590000004</v>
      </c>
      <c r="E36" s="33">
        <f>IF(B36="","",IF($D$17,IF(OR(B36=$D$16,$I$11&gt;ROUND((1+$I$10)*I35,2)),ROUND((1+$I$10)*I35,2),$I$11),IF(OR(B36=$D$16,$I$11&gt;(1+$I$10)*I35),(I+$I$10)*I35,$I$11)))</f>
        <v>692860.94</v>
      </c>
      <c r="F36" s="39">
        <v>500000</v>
      </c>
      <c r="G36" s="33">
        <f t="shared" si="0"/>
        <v>469526.29</v>
      </c>
      <c r="H36" s="33">
        <f t="shared" si="1"/>
        <v>723334.64999999991</v>
      </c>
      <c r="I36" s="38">
        <f t="shared" si="2"/>
        <v>30371121.940000005</v>
      </c>
    </row>
    <row r="37" spans="1:9" ht="18" customHeight="1" x14ac:dyDescent="0.25">
      <c r="A37" s="3"/>
      <c r="B37" s="31">
        <f t="shared" si="3"/>
        <v>17</v>
      </c>
      <c r="C37" s="43">
        <f>IF(B37="","",IF($D$14=26,IF(B37=1,$I$8,C36+14),IF($D$14=52,IF(B37=1,$I$8,C36+7),IF($D$14=24,IF(B37=1,$I$8,IF($I$8=EOMONTH($I$8,0),IF(ISODD(B37),EOMONTH(EDATE($I$8,(B37-1)/2),0),EDATE(DATE(YEAR($I$8),MONTH($I$8)+1,15),(B37-1)/2)),IF(DAY($I$8)=15,IF(ISODD(B37),EDATE($I$8,(B37-1)/2),EOMONTH(EDATE($I$8,(B37-1)/2),0)),IF(DAY($I$8)&lt;=14,IF(ISODD(B37),EDATE($I$8,(B37-1)/2),EDATE(MIN($I$8+15,EOMONTH($I$8,0)),(B37-1)/2)),EDATE(IF(ISODD(B37),$I$8,$I$8-15),B37/2))))),IF(B37=1,$I$8,EDATE($I$8,$D$15*(B37-1)))))))</f>
        <v>46569</v>
      </c>
      <c r="D37" s="32">
        <f t="shared" si="4"/>
        <v>30371121.940000005</v>
      </c>
      <c r="E37" s="33">
        <f>IF(B37="","",IF($D$17,IF(OR(B37=$D$16,$I$11&gt;ROUND((1+$I$10)*I36,2)),ROUND((1+$I$10)*I36,2),$I$11),IF(OR(B37=$D$16,$I$11&gt;(1+$I$10)*I36),(I+$I$10)*I36,$I$11)))</f>
        <v>692860.94</v>
      </c>
      <c r="F37" s="39"/>
      <c r="G37" s="33">
        <f t="shared" si="0"/>
        <v>458603.94</v>
      </c>
      <c r="H37" s="33">
        <f t="shared" si="1"/>
        <v>234256.99999999994</v>
      </c>
      <c r="I37" s="38">
        <f t="shared" si="2"/>
        <v>30136864.940000005</v>
      </c>
    </row>
    <row r="38" spans="1:9" ht="18" customHeight="1" x14ac:dyDescent="0.25">
      <c r="A38" s="3"/>
      <c r="B38" s="31">
        <f t="shared" si="3"/>
        <v>18</v>
      </c>
      <c r="C38" s="43">
        <f>IF(B38="","",IF($D$14=26,IF(B38=1,$I$8,C37+14),IF($D$14=52,IF(B38=1,$I$8,C37+7),IF($D$14=24,IF(B38=1,$I$8,IF($I$8=EOMONTH($I$8,0),IF(ISODD(B38),EOMONTH(EDATE($I$8,(B38-1)/2),0),EDATE(DATE(YEAR($I$8),MONTH($I$8)+1,15),(B38-1)/2)),IF(DAY($I$8)=15,IF(ISODD(B38),EDATE($I$8,(B38-1)/2),EOMONTH(EDATE($I$8,(B38-1)/2),0)),IF(DAY($I$8)&lt;=14,IF(ISODD(B38),EDATE($I$8,(B38-1)/2),EDATE(MIN($I$8+15,EOMONTH($I$8,0)),(B38-1)/2)),EDATE(IF(ISODD(B38),$I$8,$I$8-15),B38/2))))),IF(B38=1,$I$8,EDATE($I$8,$D$15*(B38-1)))))))</f>
        <v>46600</v>
      </c>
      <c r="D38" s="32">
        <f t="shared" si="4"/>
        <v>30136864.940000005</v>
      </c>
      <c r="E38" s="33">
        <f>IF(B38="","",IF($D$17,IF(OR(B38=$D$16,$I$11&gt;ROUND((1+$I$10)*I37,2)),ROUND((1+$I$10)*I37,2),$I$11),IF(OR(B38=$D$16,$I$11&gt;(1+$I$10)*I37),(I+$I$10)*I37,$I$11)))</f>
        <v>692860.94</v>
      </c>
      <c r="F38" s="39"/>
      <c r="G38" s="33">
        <f t="shared" si="0"/>
        <v>455066.66</v>
      </c>
      <c r="H38" s="33">
        <f t="shared" si="1"/>
        <v>237794.27999999997</v>
      </c>
      <c r="I38" s="38">
        <f t="shared" si="2"/>
        <v>29899070.660000004</v>
      </c>
    </row>
    <row r="39" spans="1:9" ht="18" customHeight="1" x14ac:dyDescent="0.25">
      <c r="A39" s="3"/>
      <c r="B39" s="31">
        <f t="shared" si="3"/>
        <v>19</v>
      </c>
      <c r="C39" s="43">
        <f>IF(B39="","",IF($D$14=26,IF(B39=1,$I$8,C38+14),IF($D$14=52,IF(B39=1,$I$8,C38+7),IF($D$14=24,IF(B39=1,$I$8,IF($I$8=EOMONTH($I$8,0),IF(ISODD(B39),EOMONTH(EDATE($I$8,(B39-1)/2),0),EDATE(DATE(YEAR($I$8),MONTH($I$8)+1,15),(B39-1)/2)),IF(DAY($I$8)=15,IF(ISODD(B39),EDATE($I$8,(B39-1)/2),EOMONTH(EDATE($I$8,(B39-1)/2),0)),IF(DAY($I$8)&lt;=14,IF(ISODD(B39),EDATE($I$8,(B39-1)/2),EDATE(MIN($I$8+15,EOMONTH($I$8,0)),(B39-1)/2)),EDATE(IF(ISODD(B39),$I$8,$I$8-15),B39/2))))),IF(B39=1,$I$8,EDATE($I$8,$D$15*(B39-1)))))))</f>
        <v>46631</v>
      </c>
      <c r="D39" s="32">
        <f t="shared" si="4"/>
        <v>29899070.660000004</v>
      </c>
      <c r="E39" s="33">
        <f>IF(B39="","",IF($D$17,IF(OR(B39=$D$16,$I$11&gt;ROUND((1+$I$10)*I38,2)),ROUND((1+$I$10)*I38,2),$I$11),IF(OR(B39=$D$16,$I$11&gt;(1+$I$10)*I38),(I+$I$10)*I38,$I$11)))</f>
        <v>692860.94</v>
      </c>
      <c r="F39" s="39"/>
      <c r="G39" s="33">
        <f t="shared" si="0"/>
        <v>451475.97</v>
      </c>
      <c r="H39" s="33">
        <f t="shared" si="1"/>
        <v>241384.96999999997</v>
      </c>
      <c r="I39" s="38">
        <f t="shared" si="2"/>
        <v>29657685.690000005</v>
      </c>
    </row>
    <row r="40" spans="1:9" ht="18" customHeight="1" x14ac:dyDescent="0.25">
      <c r="A40" s="3"/>
      <c r="B40" s="31">
        <f t="shared" si="3"/>
        <v>20</v>
      </c>
      <c r="C40" s="43">
        <f>IF(B40="","",IF($D$14=26,IF(B40=1,$I$8,C39+14),IF($D$14=52,IF(B40=1,$I$8,C39+7),IF($D$14=24,IF(B40=1,$I$8,IF($I$8=EOMONTH($I$8,0),IF(ISODD(B40),EOMONTH(EDATE($I$8,(B40-1)/2),0),EDATE(DATE(YEAR($I$8),MONTH($I$8)+1,15),(B40-1)/2)),IF(DAY($I$8)=15,IF(ISODD(B40),EDATE($I$8,(B40-1)/2),EOMONTH(EDATE($I$8,(B40-1)/2),0)),IF(DAY($I$8)&lt;=14,IF(ISODD(B40),EDATE($I$8,(B40-1)/2),EDATE(MIN($I$8+15,EOMONTH($I$8,0)),(B40-1)/2)),EDATE(IF(ISODD(B40),$I$8,$I$8-15),B40/2))))),IF(B40=1,$I$8,EDATE($I$8,$D$15*(B40-1)))))))</f>
        <v>46661</v>
      </c>
      <c r="D40" s="32">
        <f t="shared" si="4"/>
        <v>29657685.690000005</v>
      </c>
      <c r="E40" s="33">
        <f>IF(B40="","",IF($D$17,IF(OR(B40=$D$16,$I$11&gt;ROUND((1+$I$10)*I39,2)),ROUND((1+$I$10)*I39,2),$I$11),IF(OR(B40=$D$16,$I$11&gt;(1+$I$10)*I39),(I+$I$10)*I39,$I$11)))</f>
        <v>692860.94</v>
      </c>
      <c r="F40" s="39"/>
      <c r="G40" s="33">
        <f t="shared" si="0"/>
        <v>447831.05</v>
      </c>
      <c r="H40" s="33">
        <f t="shared" si="1"/>
        <v>245029.88999999996</v>
      </c>
      <c r="I40" s="38">
        <f t="shared" si="2"/>
        <v>29412655.800000004</v>
      </c>
    </row>
    <row r="41" spans="1:9" ht="18" customHeight="1" x14ac:dyDescent="0.25">
      <c r="A41" s="3"/>
      <c r="B41" s="31">
        <f t="shared" si="3"/>
        <v>21</v>
      </c>
      <c r="C41" s="43">
        <f>IF(B41="","",IF($D$14=26,IF(B41=1,$I$8,C40+14),IF($D$14=52,IF(B41=1,$I$8,C40+7),IF($D$14=24,IF(B41=1,$I$8,IF($I$8=EOMONTH($I$8,0),IF(ISODD(B41),EOMONTH(EDATE($I$8,(B41-1)/2),0),EDATE(DATE(YEAR($I$8),MONTH($I$8)+1,15),(B41-1)/2)),IF(DAY($I$8)=15,IF(ISODD(B41),EDATE($I$8,(B41-1)/2),EOMONTH(EDATE($I$8,(B41-1)/2),0)),IF(DAY($I$8)&lt;=14,IF(ISODD(B41),EDATE($I$8,(B41-1)/2),EDATE(MIN($I$8+15,EOMONTH($I$8,0)),(B41-1)/2)),EDATE(IF(ISODD(B41),$I$8,$I$8-15),B41/2))))),IF(B41=1,$I$8,EDATE($I$8,$D$15*(B41-1)))))))</f>
        <v>46692</v>
      </c>
      <c r="D41" s="32">
        <f t="shared" si="4"/>
        <v>29412655.800000004</v>
      </c>
      <c r="E41" s="33">
        <f>IF(B41="","",IF($D$17,IF(OR(B41=$D$16,$I$11&gt;ROUND((1+$I$10)*I40,2)),ROUND((1+$I$10)*I40,2),$I$11),IF(OR(B41=$D$16,$I$11&gt;(1+$I$10)*I40),(I+$I$10)*I40,$I$11)))</f>
        <v>692860.94</v>
      </c>
      <c r="F41" s="39"/>
      <c r="G41" s="33">
        <f t="shared" si="0"/>
        <v>444131.1</v>
      </c>
      <c r="H41" s="33">
        <f t="shared" si="1"/>
        <v>248729.83999999997</v>
      </c>
      <c r="I41" s="38">
        <f t="shared" si="2"/>
        <v>29163925.960000005</v>
      </c>
    </row>
    <row r="42" spans="1:9" ht="18" customHeight="1" x14ac:dyDescent="0.25">
      <c r="A42" s="3"/>
      <c r="B42" s="31">
        <f t="shared" si="3"/>
        <v>22</v>
      </c>
      <c r="C42" s="43">
        <f>IF(B42="","",IF($D$14=26,IF(B42=1,$I$8,C41+14),IF($D$14=52,IF(B42=1,$I$8,C41+7),IF($D$14=24,IF(B42=1,$I$8,IF($I$8=EOMONTH($I$8,0),IF(ISODD(B42),EOMONTH(EDATE($I$8,(B42-1)/2),0),EDATE(DATE(YEAR($I$8),MONTH($I$8)+1,15),(B42-1)/2)),IF(DAY($I$8)=15,IF(ISODD(B42),EDATE($I$8,(B42-1)/2),EOMONTH(EDATE($I$8,(B42-1)/2),0)),IF(DAY($I$8)&lt;=14,IF(ISODD(B42),EDATE($I$8,(B42-1)/2),EDATE(MIN($I$8+15,EOMONTH($I$8,0)),(B42-1)/2)),EDATE(IF(ISODD(B42),$I$8,$I$8-15),B42/2))))),IF(B42=1,$I$8,EDATE($I$8,$D$15*(B42-1)))))))</f>
        <v>46722</v>
      </c>
      <c r="D42" s="32">
        <f t="shared" si="4"/>
        <v>29163925.960000005</v>
      </c>
      <c r="E42" s="33">
        <f>IF(B42="","",IF($D$17,IF(OR(B42=$D$16,$I$11&gt;ROUND((1+$I$10)*I41,2)),ROUND((1+$I$10)*I41,2),$I$11),IF(OR(B42=$D$16,$I$11&gt;(1+$I$10)*I41),(I+$I$10)*I41,$I$11)))</f>
        <v>692860.94</v>
      </c>
      <c r="F42" s="39"/>
      <c r="G42" s="33">
        <f t="shared" si="0"/>
        <v>440375.28</v>
      </c>
      <c r="H42" s="33">
        <f t="shared" si="1"/>
        <v>252485.65999999992</v>
      </c>
      <c r="I42" s="38">
        <f t="shared" si="2"/>
        <v>28911440.300000004</v>
      </c>
    </row>
    <row r="43" spans="1:9" ht="18" customHeight="1" x14ac:dyDescent="0.25">
      <c r="A43" s="3"/>
      <c r="B43" s="31">
        <f t="shared" si="3"/>
        <v>23</v>
      </c>
      <c r="C43" s="43">
        <f>IF(B43="","",IF($D$14=26,IF(B43=1,$I$8,C42+14),IF($D$14=52,IF(B43=1,$I$8,C42+7),IF($D$14=24,IF(B43=1,$I$8,IF($I$8=EOMONTH($I$8,0),IF(ISODD(B43),EOMONTH(EDATE($I$8,(B43-1)/2),0),EDATE(DATE(YEAR($I$8),MONTH($I$8)+1,15),(B43-1)/2)),IF(DAY($I$8)=15,IF(ISODD(B43),EDATE($I$8,(B43-1)/2),EOMONTH(EDATE($I$8,(B43-1)/2),0)),IF(DAY($I$8)&lt;=14,IF(ISODD(B43),EDATE($I$8,(B43-1)/2),EDATE(MIN($I$8+15,EOMONTH($I$8,0)),(B43-1)/2)),EDATE(IF(ISODD(B43),$I$8,$I$8-15),B43/2))))),IF(B43=1,$I$8,EDATE($I$8,$D$15*(B43-1)))))))</f>
        <v>46753</v>
      </c>
      <c r="D43" s="32">
        <f t="shared" si="4"/>
        <v>28911440.300000004</v>
      </c>
      <c r="E43" s="33">
        <f>IF(B43="","",IF($D$17,IF(OR(B43=$D$16,$I$11&gt;ROUND((1+$I$10)*I42,2)),ROUND((1+$I$10)*I42,2),$I$11),IF(OR(B43=$D$16,$I$11&gt;(1+$I$10)*I42),(I+$I$10)*I42,$I$11)))</f>
        <v>692860.94</v>
      </c>
      <c r="F43" s="39"/>
      <c r="G43" s="33">
        <f t="shared" si="0"/>
        <v>436562.75</v>
      </c>
      <c r="H43" s="33">
        <f t="shared" si="1"/>
        <v>256298.18999999994</v>
      </c>
      <c r="I43" s="38">
        <f t="shared" si="2"/>
        <v>28655142.110000003</v>
      </c>
    </row>
    <row r="44" spans="1:9" ht="18" customHeight="1" x14ac:dyDescent="0.25">
      <c r="A44" s="3"/>
      <c r="B44" s="31">
        <f t="shared" si="3"/>
        <v>24</v>
      </c>
      <c r="C44" s="43">
        <f>IF(B44="","",IF($D$14=26,IF(B44=1,$I$8,C43+14),IF($D$14=52,IF(B44=1,$I$8,C43+7),IF($D$14=24,IF(B44=1,$I$8,IF($I$8=EOMONTH($I$8,0),IF(ISODD(B44),EOMONTH(EDATE($I$8,(B44-1)/2),0),EDATE(DATE(YEAR($I$8),MONTH($I$8)+1,15),(B44-1)/2)),IF(DAY($I$8)=15,IF(ISODD(B44),EDATE($I$8,(B44-1)/2),EOMONTH(EDATE($I$8,(B44-1)/2),0)),IF(DAY($I$8)&lt;=14,IF(ISODD(B44),EDATE($I$8,(B44-1)/2),EDATE(MIN($I$8+15,EOMONTH($I$8,0)),(B44-1)/2)),EDATE(IF(ISODD(B44),$I$8,$I$8-15),B44/2))))),IF(B44=1,$I$8,EDATE($I$8,$D$15*(B44-1)))))))</f>
        <v>46784</v>
      </c>
      <c r="D44" s="32">
        <f t="shared" si="4"/>
        <v>28655142.110000003</v>
      </c>
      <c r="E44" s="33">
        <f>IF(B44="","",IF($D$17,IF(OR(B44=$D$16,$I$11&gt;ROUND((1+$I$10)*I43,2)),ROUND((1+$I$10)*I43,2),$I$11),IF(OR(B44=$D$16,$I$11&gt;(1+$I$10)*I43),(I+$I$10)*I43,$I$11)))</f>
        <v>692860.94</v>
      </c>
      <c r="F44" s="39"/>
      <c r="G44" s="33">
        <f t="shared" si="0"/>
        <v>432692.65</v>
      </c>
      <c r="H44" s="33">
        <f t="shared" si="1"/>
        <v>260168.28999999992</v>
      </c>
      <c r="I44" s="38">
        <f t="shared" si="2"/>
        <v>28394973.820000004</v>
      </c>
    </row>
    <row r="45" spans="1:9" ht="18" customHeight="1" x14ac:dyDescent="0.25">
      <c r="A45" s="3"/>
      <c r="B45" s="31">
        <f t="shared" si="3"/>
        <v>25</v>
      </c>
      <c r="C45" s="43">
        <f>IF(B45="","",IF($D$14=26,IF(B45=1,$I$8,C44+14),IF($D$14=52,IF(B45=1,$I$8,C44+7),IF($D$14=24,IF(B45=1,$I$8,IF($I$8=EOMONTH($I$8,0),IF(ISODD(B45),EOMONTH(EDATE($I$8,(B45-1)/2),0),EDATE(DATE(YEAR($I$8),MONTH($I$8)+1,15),(B45-1)/2)),IF(DAY($I$8)=15,IF(ISODD(B45),EDATE($I$8,(B45-1)/2),EOMONTH(EDATE($I$8,(B45-1)/2),0)),IF(DAY($I$8)&lt;=14,IF(ISODD(B45),EDATE($I$8,(B45-1)/2),EDATE(MIN($I$8+15,EOMONTH($I$8,0)),(B45-1)/2)),EDATE(IF(ISODD(B45),$I$8,$I$8-15),B45/2))))),IF(B45=1,$I$8,EDATE($I$8,$D$15*(B45-1)))))))</f>
        <v>46813</v>
      </c>
      <c r="D45" s="32">
        <f t="shared" si="4"/>
        <v>28394973.820000004</v>
      </c>
      <c r="E45" s="33">
        <f>IF(B45="","",IF($D$17,IF(OR(B45=$D$16,$I$11&gt;ROUND((1+$I$10)*I44,2)),ROUND((1+$I$10)*I44,2),$I$11),IF(OR(B45=$D$16,$I$11&gt;(1+$I$10)*I44),(I+$I$10)*I44,$I$11)))</f>
        <v>692860.94</v>
      </c>
      <c r="F45" s="39"/>
      <c r="G45" s="33">
        <f t="shared" si="0"/>
        <v>428764.1</v>
      </c>
      <c r="H45" s="33">
        <f t="shared" si="1"/>
        <v>264096.83999999997</v>
      </c>
      <c r="I45" s="38">
        <f t="shared" si="2"/>
        <v>28130876.980000004</v>
      </c>
    </row>
    <row r="46" spans="1:9" ht="18" customHeight="1" x14ac:dyDescent="0.25">
      <c r="A46" s="3"/>
      <c r="B46" s="31">
        <f t="shared" si="3"/>
        <v>26</v>
      </c>
      <c r="C46" s="43">
        <f>IF(B46="","",IF($D$14=26,IF(B46=1,$I$8,C45+14),IF($D$14=52,IF(B46=1,$I$8,C45+7),IF($D$14=24,IF(B46=1,$I$8,IF($I$8=EOMONTH($I$8,0),IF(ISODD(B46),EOMONTH(EDATE($I$8,(B46-1)/2),0),EDATE(DATE(YEAR($I$8),MONTH($I$8)+1,15),(B46-1)/2)),IF(DAY($I$8)=15,IF(ISODD(B46),EDATE($I$8,(B46-1)/2),EOMONTH(EDATE($I$8,(B46-1)/2),0)),IF(DAY($I$8)&lt;=14,IF(ISODD(B46),EDATE($I$8,(B46-1)/2),EDATE(MIN($I$8+15,EOMONTH($I$8,0)),(B46-1)/2)),EDATE(IF(ISODD(B46),$I$8,$I$8-15),B46/2))))),IF(B46=1,$I$8,EDATE($I$8,$D$15*(B46-1)))))))</f>
        <v>46844</v>
      </c>
      <c r="D46" s="32">
        <f t="shared" si="4"/>
        <v>28130876.980000004</v>
      </c>
      <c r="E46" s="33">
        <f>IF(B46="","",IF($D$17,IF(OR(B46=$D$16,$I$11&gt;ROUND((1+$I$10)*I45,2)),ROUND((1+$I$10)*I45,2),$I$11),IF(OR(B46=$D$16,$I$11&gt;(1+$I$10)*I45),(I+$I$10)*I45,$I$11)))</f>
        <v>692860.94</v>
      </c>
      <c r="F46" s="39"/>
      <c r="G46" s="33">
        <f t="shared" si="0"/>
        <v>424776.24</v>
      </c>
      <c r="H46" s="33">
        <f t="shared" si="1"/>
        <v>268084.69999999995</v>
      </c>
      <c r="I46" s="38">
        <f t="shared" si="2"/>
        <v>27862792.280000005</v>
      </c>
    </row>
    <row r="47" spans="1:9" ht="18" customHeight="1" x14ac:dyDescent="0.25">
      <c r="A47" s="3"/>
      <c r="B47" s="31">
        <f t="shared" si="3"/>
        <v>27</v>
      </c>
      <c r="C47" s="43">
        <f>IF(B47="","",IF($D$14=26,IF(B47=1,$I$8,C46+14),IF($D$14=52,IF(B47=1,$I$8,C46+7),IF($D$14=24,IF(B47=1,$I$8,IF($I$8=EOMONTH($I$8,0),IF(ISODD(B47),EOMONTH(EDATE($I$8,(B47-1)/2),0),EDATE(DATE(YEAR($I$8),MONTH($I$8)+1,15),(B47-1)/2)),IF(DAY($I$8)=15,IF(ISODD(B47),EDATE($I$8,(B47-1)/2),EOMONTH(EDATE($I$8,(B47-1)/2),0)),IF(DAY($I$8)&lt;=14,IF(ISODD(B47),EDATE($I$8,(B47-1)/2),EDATE(MIN($I$8+15,EOMONTH($I$8,0)),(B47-1)/2)),EDATE(IF(ISODD(B47),$I$8,$I$8-15),B47/2))))),IF(B47=1,$I$8,EDATE($I$8,$D$15*(B47-1)))))))</f>
        <v>46874</v>
      </c>
      <c r="D47" s="32">
        <f t="shared" si="4"/>
        <v>27862792.280000005</v>
      </c>
      <c r="E47" s="33">
        <f>IF(B47="","",IF($D$17,IF(OR(B47=$D$16,$I$11&gt;ROUND((1+$I$10)*I46,2)),ROUND((1+$I$10)*I46,2),$I$11),IF(OR(B47=$D$16,$I$11&gt;(1+$I$10)*I46),(I+$I$10)*I46,$I$11)))</f>
        <v>692860.94</v>
      </c>
      <c r="F47" s="39"/>
      <c r="G47" s="33">
        <f t="shared" si="0"/>
        <v>420728.16</v>
      </c>
      <c r="H47" s="33">
        <f t="shared" si="1"/>
        <v>272132.77999999997</v>
      </c>
      <c r="I47" s="38">
        <f t="shared" si="2"/>
        <v>27590659.500000004</v>
      </c>
    </row>
    <row r="48" spans="1:9" ht="18" customHeight="1" x14ac:dyDescent="0.25">
      <c r="A48" s="3"/>
      <c r="B48" s="31">
        <f t="shared" si="3"/>
        <v>28</v>
      </c>
      <c r="C48" s="43">
        <f>IF(B48="","",IF($D$14=26,IF(B48=1,$I$8,C47+14),IF($D$14=52,IF(B48=1,$I$8,C47+7),IF($D$14=24,IF(B48=1,$I$8,IF($I$8=EOMONTH($I$8,0),IF(ISODD(B48),EOMONTH(EDATE($I$8,(B48-1)/2),0),EDATE(DATE(YEAR($I$8),MONTH($I$8)+1,15),(B48-1)/2)),IF(DAY($I$8)=15,IF(ISODD(B48),EDATE($I$8,(B48-1)/2),EOMONTH(EDATE($I$8,(B48-1)/2),0)),IF(DAY($I$8)&lt;=14,IF(ISODD(B48),EDATE($I$8,(B48-1)/2),EDATE(MIN($I$8+15,EOMONTH($I$8,0)),(B48-1)/2)),EDATE(IF(ISODD(B48),$I$8,$I$8-15),B48/2))))),IF(B48=1,$I$8,EDATE($I$8,$D$15*(B48-1)))))))</f>
        <v>46905</v>
      </c>
      <c r="D48" s="32">
        <f t="shared" si="4"/>
        <v>27590659.500000004</v>
      </c>
      <c r="E48" s="33">
        <f>IF(B48="","",IF($D$17,IF(OR(B48=$D$16,$I$11&gt;ROUND((1+$I$10)*I47,2)),ROUND((1+$I$10)*I47,2),$I$11),IF(OR(B48=$D$16,$I$11&gt;(1+$I$10)*I47),(I+$I$10)*I47,$I$11)))</f>
        <v>692860.94</v>
      </c>
      <c r="F48" s="39">
        <v>2000000</v>
      </c>
      <c r="G48" s="33">
        <f t="shared" si="0"/>
        <v>416618.96</v>
      </c>
      <c r="H48" s="33">
        <f t="shared" si="1"/>
        <v>2276241.98</v>
      </c>
      <c r="I48" s="38">
        <f t="shared" si="2"/>
        <v>25314417.520000003</v>
      </c>
    </row>
    <row r="49" spans="1:9" ht="18" customHeight="1" x14ac:dyDescent="0.25">
      <c r="A49" s="3"/>
      <c r="B49" s="31">
        <f t="shared" si="3"/>
        <v>29</v>
      </c>
      <c r="C49" s="43">
        <f>IF(B49="","",IF($D$14=26,IF(B49=1,$I$8,C48+14),IF($D$14=52,IF(B49=1,$I$8,C48+7),IF($D$14=24,IF(B49=1,$I$8,IF($I$8=EOMONTH($I$8,0),IF(ISODD(B49),EOMONTH(EDATE($I$8,(B49-1)/2),0),EDATE(DATE(YEAR($I$8),MONTH($I$8)+1,15),(B49-1)/2)),IF(DAY($I$8)=15,IF(ISODD(B49),EDATE($I$8,(B49-1)/2),EOMONTH(EDATE($I$8,(B49-1)/2),0)),IF(DAY($I$8)&lt;=14,IF(ISODD(B49),EDATE($I$8,(B49-1)/2),EDATE(MIN($I$8+15,EOMONTH($I$8,0)),(B49-1)/2)),EDATE(IF(ISODD(B49),$I$8,$I$8-15),B49/2))))),IF(B49=1,$I$8,EDATE($I$8,$D$15*(B49-1)))))))</f>
        <v>46935</v>
      </c>
      <c r="D49" s="32">
        <f t="shared" si="4"/>
        <v>25314417.520000003</v>
      </c>
      <c r="E49" s="33">
        <f>IF(B49="","",IF($D$17,IF(OR(B49=$D$16,$I$11&gt;ROUND((1+$I$10)*I48,2)),ROUND((1+$I$10)*I48,2),$I$11),IF(OR(B49=$D$16,$I$11&gt;(1+$I$10)*I48),(I+$I$10)*I48,$I$11)))</f>
        <v>692860.94</v>
      </c>
      <c r="F49" s="39"/>
      <c r="G49" s="33">
        <f t="shared" si="0"/>
        <v>382247.7</v>
      </c>
      <c r="H49" s="33">
        <f t="shared" si="1"/>
        <v>310613.23999999993</v>
      </c>
      <c r="I49" s="38">
        <f t="shared" si="2"/>
        <v>25003804.280000005</v>
      </c>
    </row>
    <row r="50" spans="1:9" ht="18" customHeight="1" x14ac:dyDescent="0.25">
      <c r="A50" s="3"/>
      <c r="B50" s="31">
        <f t="shared" si="3"/>
        <v>30</v>
      </c>
      <c r="C50" s="43">
        <f>IF(B50="","",IF($D$14=26,IF(B50=1,$I$8,C49+14),IF($D$14=52,IF(B50=1,$I$8,C49+7),IF($D$14=24,IF(B50=1,$I$8,IF($I$8=EOMONTH($I$8,0),IF(ISODD(B50),EOMONTH(EDATE($I$8,(B50-1)/2),0),EDATE(DATE(YEAR($I$8),MONTH($I$8)+1,15),(B50-1)/2)),IF(DAY($I$8)=15,IF(ISODD(B50),EDATE($I$8,(B50-1)/2),EOMONTH(EDATE($I$8,(B50-1)/2),0)),IF(DAY($I$8)&lt;=14,IF(ISODD(B50),EDATE($I$8,(B50-1)/2),EDATE(MIN($I$8+15,EOMONTH($I$8,0)),(B50-1)/2)),EDATE(IF(ISODD(B50),$I$8,$I$8-15),B50/2))))),IF(B50=1,$I$8,EDATE($I$8,$D$15*(B50-1)))))))</f>
        <v>46966</v>
      </c>
      <c r="D50" s="32">
        <f t="shared" si="4"/>
        <v>25003804.280000005</v>
      </c>
      <c r="E50" s="33">
        <f>IF(B50="","",IF($D$17,IF(OR(B50=$D$16,$I$11&gt;ROUND((1+$I$10)*I49,2)),ROUND((1+$I$10)*I49,2),$I$11),IF(OR(B50=$D$16,$I$11&gt;(1+$I$10)*I49),(I+$I$10)*I49,$I$11)))</f>
        <v>692860.94</v>
      </c>
      <c r="F50" s="39"/>
      <c r="G50" s="33">
        <f t="shared" si="0"/>
        <v>377557.44</v>
      </c>
      <c r="H50" s="33">
        <f t="shared" si="1"/>
        <v>315303.49999999994</v>
      </c>
      <c r="I50" s="38">
        <f t="shared" si="2"/>
        <v>24688500.780000005</v>
      </c>
    </row>
    <row r="51" spans="1:9" ht="18" customHeight="1" x14ac:dyDescent="0.25">
      <c r="A51" s="3"/>
      <c r="B51" s="31">
        <f t="shared" si="3"/>
        <v>31</v>
      </c>
      <c r="C51" s="43">
        <f>IF(B51="","",IF($D$14=26,IF(B51=1,$I$8,C50+14),IF($D$14=52,IF(B51=1,$I$8,C50+7),IF($D$14=24,IF(B51=1,$I$8,IF($I$8=EOMONTH($I$8,0),IF(ISODD(B51),EOMONTH(EDATE($I$8,(B51-1)/2),0),EDATE(DATE(YEAR($I$8),MONTH($I$8)+1,15),(B51-1)/2)),IF(DAY($I$8)=15,IF(ISODD(B51),EDATE($I$8,(B51-1)/2),EOMONTH(EDATE($I$8,(B51-1)/2),0)),IF(DAY($I$8)&lt;=14,IF(ISODD(B51),EDATE($I$8,(B51-1)/2),EDATE(MIN($I$8+15,EOMONTH($I$8,0)),(B51-1)/2)),EDATE(IF(ISODD(B51),$I$8,$I$8-15),B51/2))))),IF(B51=1,$I$8,EDATE($I$8,$D$15*(B51-1)))))))</f>
        <v>46997</v>
      </c>
      <c r="D51" s="32">
        <f t="shared" si="4"/>
        <v>24688500.780000005</v>
      </c>
      <c r="E51" s="33">
        <f>IF(B51="","",IF($D$17,IF(OR(B51=$D$16,$I$11&gt;ROUND((1+$I$10)*I50,2)),ROUND((1+$I$10)*I50,2),$I$11),IF(OR(B51=$D$16,$I$11&gt;(1+$I$10)*I50),(I+$I$10)*I50,$I$11)))</f>
        <v>692860.94</v>
      </c>
      <c r="F51" s="39"/>
      <c r="G51" s="33">
        <f t="shared" si="0"/>
        <v>372796.36</v>
      </c>
      <c r="H51" s="33">
        <f t="shared" si="1"/>
        <v>320064.57999999996</v>
      </c>
      <c r="I51" s="38">
        <f t="shared" si="2"/>
        <v>24368436.200000007</v>
      </c>
    </row>
    <row r="52" spans="1:9" ht="18" customHeight="1" x14ac:dyDescent="0.25">
      <c r="A52" s="3"/>
      <c r="B52" s="31">
        <f t="shared" ref="B52:B115" si="5">IF(I51="","",IF($D$17,IF(OR(B51&gt;=$D$16,ROUND(I51,2)&lt;=0),"",B51+1),IF(OR(B51&gt;=$D$16,I51&lt;=0),"",B51+1)))</f>
        <v>32</v>
      </c>
      <c r="C52" s="43">
        <f>IF(B52="","",IF($D$14=26,IF(B52=1,$I$8,C51+14),IF($D$14=52,IF(B52=1,$I$8,C51+7),IF($D$14=24,IF(B52=1,$I$8,IF($I$8=EOMONTH($I$8,0),IF(ISODD(B52),EOMONTH(EDATE($I$8,(B52-1)/2),0),EDATE(DATE(YEAR($I$8),MONTH($I$8)+1,15),(B52-1)/2)),IF(DAY($I$8)=15,IF(ISODD(B52),EDATE($I$8,(B52-1)/2),EOMONTH(EDATE($I$8,(B52-1)/2),0)),IF(DAY($I$8)&lt;=14,IF(ISODD(B52),EDATE($I$8,(B52-1)/2),EDATE(MIN($I$8+15,EOMONTH($I$8,0)),(B52-1)/2)),EDATE(IF(ISODD(B52),$I$8,$I$8-15),B52/2))))),IF(B52=1,$I$8,EDATE($I$8,$D$15*(B52-1)))))))</f>
        <v>47027</v>
      </c>
      <c r="D52" s="32">
        <f t="shared" ref="D52:D115" si="6">IF(ISERROR(IF((ROUND(I51,1)&gt;0),I51,"")),"",(IF((ROUND(I51,1)&gt;0),I51,"")))</f>
        <v>24368436.200000007</v>
      </c>
      <c r="E52" s="33">
        <f>IF(B52="","",IF($D$17,IF(OR(B52=$D$16,$I$11&gt;ROUND((1+$I$10)*I51,2)),ROUND((1+$I$10)*I51,2),$I$11),IF(OR(B52=$D$16,$I$11&gt;(1+$I$10)*I51),(I+$I$10)*I51,$I$11)))</f>
        <v>692860.94</v>
      </c>
      <c r="F52" s="39"/>
      <c r="G52" s="33">
        <f t="shared" ref="G52:G115" si="7">IF(B52="","",(IF($D$17,ROUND($I$10*I51,2),$I$10*I51)))</f>
        <v>367963.39</v>
      </c>
      <c r="H52" s="33">
        <f t="shared" ref="H52:H115" si="8">IF(B52="","",E52-G52+F52)</f>
        <v>324897.54999999993</v>
      </c>
      <c r="I52" s="38">
        <f t="shared" ref="I52:I115" si="9">IF(B52="","",I51-H52)</f>
        <v>24043538.650000006</v>
      </c>
    </row>
    <row r="53" spans="1:9" ht="18" customHeight="1" x14ac:dyDescent="0.25">
      <c r="A53" s="3"/>
      <c r="B53" s="31">
        <f t="shared" si="5"/>
        <v>33</v>
      </c>
      <c r="C53" s="43">
        <f>IF(B53="","",IF($D$14=26,IF(B53=1,$I$8,C52+14),IF($D$14=52,IF(B53=1,$I$8,C52+7),IF($D$14=24,IF(B53=1,$I$8,IF($I$8=EOMONTH($I$8,0),IF(ISODD(B53),EOMONTH(EDATE($I$8,(B53-1)/2),0),EDATE(DATE(YEAR($I$8),MONTH($I$8)+1,15),(B53-1)/2)),IF(DAY($I$8)=15,IF(ISODD(B53),EDATE($I$8,(B53-1)/2),EOMONTH(EDATE($I$8,(B53-1)/2),0)),IF(DAY($I$8)&lt;=14,IF(ISODD(B53),EDATE($I$8,(B53-1)/2),EDATE(MIN($I$8+15,EOMONTH($I$8,0)),(B53-1)/2)),EDATE(IF(ISODD(B53),$I$8,$I$8-15),B53/2))))),IF(B53=1,$I$8,EDATE($I$8,$D$15*(B53-1)))))))</f>
        <v>47058</v>
      </c>
      <c r="D53" s="32">
        <f t="shared" si="6"/>
        <v>24043538.650000006</v>
      </c>
      <c r="E53" s="33">
        <f>IF(B53="","",IF($D$17,IF(OR(B53=$D$16,$I$11&gt;ROUND((1+$I$10)*I52,2)),ROUND((1+$I$10)*I52,2),$I$11),IF(OR(B53=$D$16,$I$11&gt;(1+$I$10)*I52),(I+$I$10)*I52,$I$11)))</f>
        <v>692860.94</v>
      </c>
      <c r="F53" s="39"/>
      <c r="G53" s="33">
        <f t="shared" si="7"/>
        <v>363057.43</v>
      </c>
      <c r="H53" s="33">
        <f t="shared" si="8"/>
        <v>329803.50999999995</v>
      </c>
      <c r="I53" s="38">
        <f t="shared" si="9"/>
        <v>23713735.140000004</v>
      </c>
    </row>
    <row r="54" spans="1:9" ht="18" customHeight="1" x14ac:dyDescent="0.25">
      <c r="A54" s="3"/>
      <c r="B54" s="31">
        <f t="shared" si="5"/>
        <v>34</v>
      </c>
      <c r="C54" s="43">
        <f>IF(B54="","",IF($D$14=26,IF(B54=1,$I$8,C53+14),IF($D$14=52,IF(B54=1,$I$8,C53+7),IF($D$14=24,IF(B54=1,$I$8,IF($I$8=EOMONTH($I$8,0),IF(ISODD(B54),EOMONTH(EDATE($I$8,(B54-1)/2),0),EDATE(DATE(YEAR($I$8),MONTH($I$8)+1,15),(B54-1)/2)),IF(DAY($I$8)=15,IF(ISODD(B54),EDATE($I$8,(B54-1)/2),EOMONTH(EDATE($I$8,(B54-1)/2),0)),IF(DAY($I$8)&lt;=14,IF(ISODD(B54),EDATE($I$8,(B54-1)/2),EDATE(MIN($I$8+15,EOMONTH($I$8,0)),(B54-1)/2)),EDATE(IF(ISODD(B54),$I$8,$I$8-15),B54/2))))),IF(B54=1,$I$8,EDATE($I$8,$D$15*(B54-1)))))))</f>
        <v>47088</v>
      </c>
      <c r="D54" s="32">
        <f t="shared" si="6"/>
        <v>23713735.140000004</v>
      </c>
      <c r="E54" s="33">
        <f>IF(B54="","",IF($D$17,IF(OR(B54=$D$16,$I$11&gt;ROUND((1+$I$10)*I53,2)),ROUND((1+$I$10)*I53,2),$I$11),IF(OR(B54=$D$16,$I$11&gt;(1+$I$10)*I53),(I+$I$10)*I53,$I$11)))</f>
        <v>692860.94</v>
      </c>
      <c r="F54" s="39"/>
      <c r="G54" s="33">
        <f t="shared" si="7"/>
        <v>358077.4</v>
      </c>
      <c r="H54" s="33">
        <f t="shared" si="8"/>
        <v>334783.53999999992</v>
      </c>
      <c r="I54" s="38">
        <f t="shared" si="9"/>
        <v>23378951.600000005</v>
      </c>
    </row>
    <row r="55" spans="1:9" ht="18" customHeight="1" x14ac:dyDescent="0.25">
      <c r="A55" s="3"/>
      <c r="B55" s="31">
        <f t="shared" si="5"/>
        <v>35</v>
      </c>
      <c r="C55" s="43">
        <f>IF(B55="","",IF($D$14=26,IF(B55=1,$I$8,C54+14),IF($D$14=52,IF(B55=1,$I$8,C54+7),IF($D$14=24,IF(B55=1,$I$8,IF($I$8=EOMONTH($I$8,0),IF(ISODD(B55),EOMONTH(EDATE($I$8,(B55-1)/2),0),EDATE(DATE(YEAR($I$8),MONTH($I$8)+1,15),(B55-1)/2)),IF(DAY($I$8)=15,IF(ISODD(B55),EDATE($I$8,(B55-1)/2),EOMONTH(EDATE($I$8,(B55-1)/2),0)),IF(DAY($I$8)&lt;=14,IF(ISODD(B55),EDATE($I$8,(B55-1)/2),EDATE(MIN($I$8+15,EOMONTH($I$8,0)),(B55-1)/2)),EDATE(IF(ISODD(B55),$I$8,$I$8-15),B55/2))))),IF(B55=1,$I$8,EDATE($I$8,$D$15*(B55-1)))))))</f>
        <v>47119</v>
      </c>
      <c r="D55" s="32">
        <f t="shared" si="6"/>
        <v>23378951.600000005</v>
      </c>
      <c r="E55" s="33">
        <f>IF(B55="","",IF($D$17,IF(OR(B55=$D$16,$I$11&gt;ROUND((1+$I$10)*I54,2)),ROUND((1+$I$10)*I54,2),$I$11),IF(OR(B55=$D$16,$I$11&gt;(1+$I$10)*I54),(I+$I$10)*I54,$I$11)))</f>
        <v>692860.94</v>
      </c>
      <c r="F55" s="39"/>
      <c r="G55" s="33">
        <f t="shared" si="7"/>
        <v>353022.17</v>
      </c>
      <c r="H55" s="33">
        <f t="shared" si="8"/>
        <v>339838.76999999996</v>
      </c>
      <c r="I55" s="38">
        <f t="shared" si="9"/>
        <v>23039112.830000006</v>
      </c>
    </row>
    <row r="56" spans="1:9" ht="18" customHeight="1" x14ac:dyDescent="0.25">
      <c r="A56" s="3"/>
      <c r="B56" s="31">
        <f t="shared" si="5"/>
        <v>36</v>
      </c>
      <c r="C56" s="43">
        <f>IF(B56="","",IF($D$14=26,IF(B56=1,$I$8,C55+14),IF($D$14=52,IF(B56=1,$I$8,C55+7),IF($D$14=24,IF(B56=1,$I$8,IF($I$8=EOMONTH($I$8,0),IF(ISODD(B56),EOMONTH(EDATE($I$8,(B56-1)/2),0),EDATE(DATE(YEAR($I$8),MONTH($I$8)+1,15),(B56-1)/2)),IF(DAY($I$8)=15,IF(ISODD(B56),EDATE($I$8,(B56-1)/2),EOMONTH(EDATE($I$8,(B56-1)/2),0)),IF(DAY($I$8)&lt;=14,IF(ISODD(B56),EDATE($I$8,(B56-1)/2),EDATE(MIN($I$8+15,EOMONTH($I$8,0)),(B56-1)/2)),EDATE(IF(ISODD(B56),$I$8,$I$8-15),B56/2))))),IF(B56=1,$I$8,EDATE($I$8,$D$15*(B56-1)))))))</f>
        <v>47150</v>
      </c>
      <c r="D56" s="32">
        <f t="shared" si="6"/>
        <v>23039112.830000006</v>
      </c>
      <c r="E56" s="33">
        <f>IF(B56="","",IF($D$17,IF(OR(B56=$D$16,$I$11&gt;ROUND((1+$I$10)*I55,2)),ROUND((1+$I$10)*I55,2),$I$11),IF(OR(B56=$D$16,$I$11&gt;(1+$I$10)*I55),(I+$I$10)*I55,$I$11)))</f>
        <v>692860.94</v>
      </c>
      <c r="F56" s="39"/>
      <c r="G56" s="33">
        <f t="shared" si="7"/>
        <v>347890.6</v>
      </c>
      <c r="H56" s="33">
        <f t="shared" si="8"/>
        <v>344970.33999999997</v>
      </c>
      <c r="I56" s="38">
        <f t="shared" si="9"/>
        <v>22694142.490000006</v>
      </c>
    </row>
    <row r="57" spans="1:9" ht="18" customHeight="1" x14ac:dyDescent="0.25">
      <c r="A57" s="3"/>
      <c r="B57" s="31">
        <f t="shared" si="5"/>
        <v>37</v>
      </c>
      <c r="C57" s="43">
        <f>IF(B57="","",IF($D$14=26,IF(B57=1,$I$8,C56+14),IF($D$14=52,IF(B57=1,$I$8,C56+7),IF($D$14=24,IF(B57=1,$I$8,IF($I$8=EOMONTH($I$8,0),IF(ISODD(B57),EOMONTH(EDATE($I$8,(B57-1)/2),0),EDATE(DATE(YEAR($I$8),MONTH($I$8)+1,15),(B57-1)/2)),IF(DAY($I$8)=15,IF(ISODD(B57),EDATE($I$8,(B57-1)/2),EOMONTH(EDATE($I$8,(B57-1)/2),0)),IF(DAY($I$8)&lt;=14,IF(ISODD(B57),EDATE($I$8,(B57-1)/2),EDATE(MIN($I$8+15,EOMONTH($I$8,0)),(B57-1)/2)),EDATE(IF(ISODD(B57),$I$8,$I$8-15),B57/2))))),IF(B57=1,$I$8,EDATE($I$8,$D$15*(B57-1)))))))</f>
        <v>47178</v>
      </c>
      <c r="D57" s="32">
        <f t="shared" si="6"/>
        <v>22694142.490000006</v>
      </c>
      <c r="E57" s="33">
        <f>IF(B57="","",IF($D$17,IF(OR(B57=$D$16,$I$11&gt;ROUND((1+$I$10)*I56,2)),ROUND((1+$I$10)*I56,2),$I$11),IF(OR(B57=$D$16,$I$11&gt;(1+$I$10)*I56),(I+$I$10)*I56,$I$11)))</f>
        <v>692860.94</v>
      </c>
      <c r="F57" s="39"/>
      <c r="G57" s="33">
        <f t="shared" si="7"/>
        <v>342681.55</v>
      </c>
      <c r="H57" s="33">
        <f t="shared" si="8"/>
        <v>350179.38999999996</v>
      </c>
      <c r="I57" s="38">
        <f t="shared" si="9"/>
        <v>22343963.100000005</v>
      </c>
    </row>
    <row r="58" spans="1:9" ht="18" customHeight="1" x14ac:dyDescent="0.25">
      <c r="A58" s="3"/>
      <c r="B58" s="31">
        <f t="shared" si="5"/>
        <v>38</v>
      </c>
      <c r="C58" s="43">
        <f>IF(B58="","",IF($D$14=26,IF(B58=1,$I$8,C57+14),IF($D$14=52,IF(B58=1,$I$8,C57+7),IF($D$14=24,IF(B58=1,$I$8,IF($I$8=EOMONTH($I$8,0),IF(ISODD(B58),EOMONTH(EDATE($I$8,(B58-1)/2),0),EDATE(DATE(YEAR($I$8),MONTH($I$8)+1,15),(B58-1)/2)),IF(DAY($I$8)=15,IF(ISODD(B58),EDATE($I$8,(B58-1)/2),EOMONTH(EDATE($I$8,(B58-1)/2),0)),IF(DAY($I$8)&lt;=14,IF(ISODD(B58),EDATE($I$8,(B58-1)/2),EDATE(MIN($I$8+15,EOMONTH($I$8,0)),(B58-1)/2)),EDATE(IF(ISODD(B58),$I$8,$I$8-15),B58/2))))),IF(B58=1,$I$8,EDATE($I$8,$D$15*(B58-1)))))))</f>
        <v>47209</v>
      </c>
      <c r="D58" s="32">
        <f t="shared" si="6"/>
        <v>22343963.100000005</v>
      </c>
      <c r="E58" s="33">
        <f>IF(B58="","",IF($D$17,IF(OR(B58=$D$16,$I$11&gt;ROUND((1+$I$10)*I57,2)),ROUND((1+$I$10)*I57,2),$I$11),IF(OR(B58=$D$16,$I$11&gt;(1+$I$10)*I57),(I+$I$10)*I57,$I$11)))</f>
        <v>692860.94</v>
      </c>
      <c r="F58" s="39"/>
      <c r="G58" s="33">
        <f t="shared" si="7"/>
        <v>337393.84</v>
      </c>
      <c r="H58" s="33">
        <f t="shared" si="8"/>
        <v>355467.09999999992</v>
      </c>
      <c r="I58" s="38">
        <f t="shared" si="9"/>
        <v>21988496.000000004</v>
      </c>
    </row>
    <row r="59" spans="1:9" ht="18" customHeight="1" x14ac:dyDescent="0.25">
      <c r="A59" s="3"/>
      <c r="B59" s="31">
        <f t="shared" si="5"/>
        <v>39</v>
      </c>
      <c r="C59" s="43">
        <f>IF(B59="","",IF($D$14=26,IF(B59=1,$I$8,C58+14),IF($D$14=52,IF(B59=1,$I$8,C58+7),IF($D$14=24,IF(B59=1,$I$8,IF($I$8=EOMONTH($I$8,0),IF(ISODD(B59),EOMONTH(EDATE($I$8,(B59-1)/2),0),EDATE(DATE(YEAR($I$8),MONTH($I$8)+1,15),(B59-1)/2)),IF(DAY($I$8)=15,IF(ISODD(B59),EDATE($I$8,(B59-1)/2),EOMONTH(EDATE($I$8,(B59-1)/2),0)),IF(DAY($I$8)&lt;=14,IF(ISODD(B59),EDATE($I$8,(B59-1)/2),EDATE(MIN($I$8+15,EOMONTH($I$8,0)),(B59-1)/2)),EDATE(IF(ISODD(B59),$I$8,$I$8-15),B59/2))))),IF(B59=1,$I$8,EDATE($I$8,$D$15*(B59-1)))))))</f>
        <v>47239</v>
      </c>
      <c r="D59" s="32">
        <f t="shared" si="6"/>
        <v>21988496.000000004</v>
      </c>
      <c r="E59" s="33">
        <f>IF(B59="","",IF($D$17,IF(OR(B59=$D$16,$I$11&gt;ROUND((1+$I$10)*I58,2)),ROUND((1+$I$10)*I58,2),$I$11),IF(OR(B59=$D$16,$I$11&gt;(1+$I$10)*I58),(I+$I$10)*I58,$I$11)))</f>
        <v>692860.94</v>
      </c>
      <c r="F59" s="39"/>
      <c r="G59" s="33">
        <f t="shared" si="7"/>
        <v>332026.28999999998</v>
      </c>
      <c r="H59" s="33">
        <f t="shared" si="8"/>
        <v>360834.64999999997</v>
      </c>
      <c r="I59" s="38">
        <f t="shared" si="9"/>
        <v>21627661.350000005</v>
      </c>
    </row>
    <row r="60" spans="1:9" ht="18" customHeight="1" x14ac:dyDescent="0.25">
      <c r="A60" s="3"/>
      <c r="B60" s="31">
        <f t="shared" si="5"/>
        <v>40</v>
      </c>
      <c r="C60" s="43">
        <f>IF(B60="","",IF($D$14=26,IF(B60=1,$I$8,C59+14),IF($D$14=52,IF(B60=1,$I$8,C59+7),IF($D$14=24,IF(B60=1,$I$8,IF($I$8=EOMONTH($I$8,0),IF(ISODD(B60),EOMONTH(EDATE($I$8,(B60-1)/2),0),EDATE(DATE(YEAR($I$8),MONTH($I$8)+1,15),(B60-1)/2)),IF(DAY($I$8)=15,IF(ISODD(B60),EDATE($I$8,(B60-1)/2),EOMONTH(EDATE($I$8,(B60-1)/2),0)),IF(DAY($I$8)&lt;=14,IF(ISODD(B60),EDATE($I$8,(B60-1)/2),EDATE(MIN($I$8+15,EOMONTH($I$8,0)),(B60-1)/2)),EDATE(IF(ISODD(B60),$I$8,$I$8-15),B60/2))))),IF(B60=1,$I$8,EDATE($I$8,$D$15*(B60-1)))))))</f>
        <v>47270</v>
      </c>
      <c r="D60" s="32">
        <f t="shared" si="6"/>
        <v>21627661.350000005</v>
      </c>
      <c r="E60" s="33">
        <f>IF(B60="","",IF($D$17,IF(OR(B60=$D$16,$I$11&gt;ROUND((1+$I$10)*I59,2)),ROUND((1+$I$10)*I59,2),$I$11),IF(OR(B60=$D$16,$I$11&gt;(1+$I$10)*I59),(I+$I$10)*I59,$I$11)))</f>
        <v>692860.94</v>
      </c>
      <c r="F60" s="39"/>
      <c r="G60" s="33">
        <f t="shared" si="7"/>
        <v>326577.69</v>
      </c>
      <c r="H60" s="33">
        <f t="shared" si="8"/>
        <v>366283.24999999994</v>
      </c>
      <c r="I60" s="38">
        <f t="shared" si="9"/>
        <v>21261378.100000005</v>
      </c>
    </row>
    <row r="61" spans="1:9" ht="18" customHeight="1" x14ac:dyDescent="0.25">
      <c r="A61" s="3"/>
      <c r="B61" s="31">
        <f t="shared" si="5"/>
        <v>41</v>
      </c>
      <c r="C61" s="43">
        <f>IF(B61="","",IF($D$14=26,IF(B61=1,$I$8,C60+14),IF($D$14=52,IF(B61=1,$I$8,C60+7),IF($D$14=24,IF(B61=1,$I$8,IF($I$8=EOMONTH($I$8,0),IF(ISODD(B61),EOMONTH(EDATE($I$8,(B61-1)/2),0),EDATE(DATE(YEAR($I$8),MONTH($I$8)+1,15),(B61-1)/2)),IF(DAY($I$8)=15,IF(ISODD(B61),EDATE($I$8,(B61-1)/2),EOMONTH(EDATE($I$8,(B61-1)/2),0)),IF(DAY($I$8)&lt;=14,IF(ISODD(B61),EDATE($I$8,(B61-1)/2),EDATE(MIN($I$8+15,EOMONTH($I$8,0)),(B61-1)/2)),EDATE(IF(ISODD(B61),$I$8,$I$8-15),B61/2))))),IF(B61=1,$I$8,EDATE($I$8,$D$15*(B61-1)))))))</f>
        <v>47300</v>
      </c>
      <c r="D61" s="32">
        <f t="shared" si="6"/>
        <v>21261378.100000005</v>
      </c>
      <c r="E61" s="33">
        <f>IF(B61="","",IF($D$17,IF(OR(B61=$D$16,$I$11&gt;ROUND((1+$I$10)*I60,2)),ROUND((1+$I$10)*I60,2),$I$11),IF(OR(B61=$D$16,$I$11&gt;(1+$I$10)*I60),(I+$I$10)*I60,$I$11)))</f>
        <v>692860.94</v>
      </c>
      <c r="F61" s="39"/>
      <c r="G61" s="33">
        <f t="shared" si="7"/>
        <v>321046.81</v>
      </c>
      <c r="H61" s="33">
        <f t="shared" si="8"/>
        <v>371814.12999999995</v>
      </c>
      <c r="I61" s="38">
        <f t="shared" si="9"/>
        <v>20889563.970000006</v>
      </c>
    </row>
    <row r="62" spans="1:9" ht="18" customHeight="1" x14ac:dyDescent="0.25">
      <c r="A62" s="3"/>
      <c r="B62" s="31">
        <f t="shared" si="5"/>
        <v>42</v>
      </c>
      <c r="C62" s="43">
        <f>IF(B62="","",IF($D$14=26,IF(B62=1,$I$8,C61+14),IF($D$14=52,IF(B62=1,$I$8,C61+7),IF($D$14=24,IF(B62=1,$I$8,IF($I$8=EOMONTH($I$8,0),IF(ISODD(B62),EOMONTH(EDATE($I$8,(B62-1)/2),0),EDATE(DATE(YEAR($I$8),MONTH($I$8)+1,15),(B62-1)/2)),IF(DAY($I$8)=15,IF(ISODD(B62),EDATE($I$8,(B62-1)/2),EOMONTH(EDATE($I$8,(B62-1)/2),0)),IF(DAY($I$8)&lt;=14,IF(ISODD(B62),EDATE($I$8,(B62-1)/2),EDATE(MIN($I$8+15,EOMONTH($I$8,0)),(B62-1)/2)),EDATE(IF(ISODD(B62),$I$8,$I$8-15),B62/2))))),IF(B62=1,$I$8,EDATE($I$8,$D$15*(B62-1)))))))</f>
        <v>47331</v>
      </c>
      <c r="D62" s="32">
        <f t="shared" si="6"/>
        <v>20889563.970000006</v>
      </c>
      <c r="E62" s="33">
        <f>IF(B62="","",IF($D$17,IF(OR(B62=$D$16,$I$11&gt;ROUND((1+$I$10)*I61,2)),ROUND((1+$I$10)*I61,2),$I$11),IF(OR(B62=$D$16,$I$11&gt;(1+$I$10)*I61),(I+$I$10)*I61,$I$11)))</f>
        <v>692860.94</v>
      </c>
      <c r="F62" s="39"/>
      <c r="G62" s="33">
        <f t="shared" si="7"/>
        <v>315432.42</v>
      </c>
      <c r="H62" s="33">
        <f t="shared" si="8"/>
        <v>377428.51999999996</v>
      </c>
      <c r="I62" s="38">
        <f t="shared" si="9"/>
        <v>20512135.450000007</v>
      </c>
    </row>
    <row r="63" spans="1:9" ht="18" customHeight="1" x14ac:dyDescent="0.25">
      <c r="A63" s="3"/>
      <c r="B63" s="31">
        <f t="shared" si="5"/>
        <v>43</v>
      </c>
      <c r="C63" s="43">
        <f>IF(B63="","",IF($D$14=26,IF(B63=1,$I$8,C62+14),IF($D$14=52,IF(B63=1,$I$8,C62+7),IF($D$14=24,IF(B63=1,$I$8,IF($I$8=EOMONTH($I$8,0),IF(ISODD(B63),EOMONTH(EDATE($I$8,(B63-1)/2),0),EDATE(DATE(YEAR($I$8),MONTH($I$8)+1,15),(B63-1)/2)),IF(DAY($I$8)=15,IF(ISODD(B63),EDATE($I$8,(B63-1)/2),EOMONTH(EDATE($I$8,(B63-1)/2),0)),IF(DAY($I$8)&lt;=14,IF(ISODD(B63),EDATE($I$8,(B63-1)/2),EDATE(MIN($I$8+15,EOMONTH($I$8,0)),(B63-1)/2)),EDATE(IF(ISODD(B63),$I$8,$I$8-15),B63/2))))),IF(B63=1,$I$8,EDATE($I$8,$D$15*(B63-1)))))))</f>
        <v>47362</v>
      </c>
      <c r="D63" s="32">
        <f t="shared" si="6"/>
        <v>20512135.450000007</v>
      </c>
      <c r="E63" s="33">
        <f>IF(B63="","",IF($D$17,IF(OR(B63=$D$16,$I$11&gt;ROUND((1+$I$10)*I62,2)),ROUND((1+$I$10)*I62,2),$I$11),IF(OR(B63=$D$16,$I$11&gt;(1+$I$10)*I62),(I+$I$10)*I62,$I$11)))</f>
        <v>692860.94</v>
      </c>
      <c r="F63" s="39"/>
      <c r="G63" s="33">
        <f t="shared" si="7"/>
        <v>309733.25</v>
      </c>
      <c r="H63" s="33">
        <f t="shared" si="8"/>
        <v>383127.68999999994</v>
      </c>
      <c r="I63" s="38">
        <f t="shared" si="9"/>
        <v>20129007.760000005</v>
      </c>
    </row>
    <row r="64" spans="1:9" ht="18" customHeight="1" x14ac:dyDescent="0.25">
      <c r="A64" s="3"/>
      <c r="B64" s="31">
        <f t="shared" si="5"/>
        <v>44</v>
      </c>
      <c r="C64" s="43">
        <f>IF(B64="","",IF($D$14=26,IF(B64=1,$I$8,C63+14),IF($D$14=52,IF(B64=1,$I$8,C63+7),IF($D$14=24,IF(B64=1,$I$8,IF($I$8=EOMONTH($I$8,0),IF(ISODD(B64),EOMONTH(EDATE($I$8,(B64-1)/2),0),EDATE(DATE(YEAR($I$8),MONTH($I$8)+1,15),(B64-1)/2)),IF(DAY($I$8)=15,IF(ISODD(B64),EDATE($I$8,(B64-1)/2),EOMONTH(EDATE($I$8,(B64-1)/2),0)),IF(DAY($I$8)&lt;=14,IF(ISODD(B64),EDATE($I$8,(B64-1)/2),EDATE(MIN($I$8+15,EOMONTH($I$8,0)),(B64-1)/2)),EDATE(IF(ISODD(B64),$I$8,$I$8-15),B64/2))))),IF(B64=1,$I$8,EDATE($I$8,$D$15*(B64-1)))))))</f>
        <v>47392</v>
      </c>
      <c r="D64" s="32">
        <f t="shared" si="6"/>
        <v>20129007.760000005</v>
      </c>
      <c r="E64" s="33">
        <f>IF(B64="","",IF($D$17,IF(OR(B64=$D$16,$I$11&gt;ROUND((1+$I$10)*I63,2)),ROUND((1+$I$10)*I63,2),$I$11),IF(OR(B64=$D$16,$I$11&gt;(1+$I$10)*I63),(I+$I$10)*I63,$I$11)))</f>
        <v>692860.94</v>
      </c>
      <c r="F64" s="39"/>
      <c r="G64" s="33">
        <f t="shared" si="7"/>
        <v>303948.02</v>
      </c>
      <c r="H64" s="33">
        <f t="shared" si="8"/>
        <v>388912.91999999993</v>
      </c>
      <c r="I64" s="38">
        <f t="shared" si="9"/>
        <v>19740094.840000004</v>
      </c>
    </row>
    <row r="65" spans="1:9" ht="18" customHeight="1" x14ac:dyDescent="0.25">
      <c r="A65" s="3"/>
      <c r="B65" s="31">
        <f t="shared" si="5"/>
        <v>45</v>
      </c>
      <c r="C65" s="43">
        <f>IF(B65="","",IF($D$14=26,IF(B65=1,$I$8,C64+14),IF($D$14=52,IF(B65=1,$I$8,C64+7),IF($D$14=24,IF(B65=1,$I$8,IF($I$8=EOMONTH($I$8,0),IF(ISODD(B65),EOMONTH(EDATE($I$8,(B65-1)/2),0),EDATE(DATE(YEAR($I$8),MONTH($I$8)+1,15),(B65-1)/2)),IF(DAY($I$8)=15,IF(ISODD(B65),EDATE($I$8,(B65-1)/2),EOMONTH(EDATE($I$8,(B65-1)/2),0)),IF(DAY($I$8)&lt;=14,IF(ISODD(B65),EDATE($I$8,(B65-1)/2),EDATE(MIN($I$8+15,EOMONTH($I$8,0)),(B65-1)/2)),EDATE(IF(ISODD(B65),$I$8,$I$8-15),B65/2))))),IF(B65=1,$I$8,EDATE($I$8,$D$15*(B65-1)))))))</f>
        <v>47423</v>
      </c>
      <c r="D65" s="32">
        <f t="shared" si="6"/>
        <v>19740094.840000004</v>
      </c>
      <c r="E65" s="33">
        <f>IF(B65="","",IF($D$17,IF(OR(B65=$D$16,$I$11&gt;ROUND((1+$I$10)*I64,2)),ROUND((1+$I$10)*I64,2),$I$11),IF(OR(B65=$D$16,$I$11&gt;(1+$I$10)*I64),(I+$I$10)*I64,$I$11)))</f>
        <v>692860.94</v>
      </c>
      <c r="F65" s="39">
        <v>3000000</v>
      </c>
      <c r="G65" s="33">
        <f t="shared" si="7"/>
        <v>298075.43</v>
      </c>
      <c r="H65" s="33">
        <f t="shared" si="8"/>
        <v>3394785.51</v>
      </c>
      <c r="I65" s="38">
        <f t="shared" si="9"/>
        <v>16345309.330000004</v>
      </c>
    </row>
    <row r="66" spans="1:9" ht="18" customHeight="1" x14ac:dyDescent="0.25">
      <c r="A66" s="3"/>
      <c r="B66" s="31">
        <f t="shared" si="5"/>
        <v>46</v>
      </c>
      <c r="C66" s="43">
        <f>IF(B66="","",IF($D$14=26,IF(B66=1,$I$8,C65+14),IF($D$14=52,IF(B66=1,$I$8,C65+7),IF($D$14=24,IF(B66=1,$I$8,IF($I$8=EOMONTH($I$8,0),IF(ISODD(B66),EOMONTH(EDATE($I$8,(B66-1)/2),0),EDATE(DATE(YEAR($I$8),MONTH($I$8)+1,15),(B66-1)/2)),IF(DAY($I$8)=15,IF(ISODD(B66),EDATE($I$8,(B66-1)/2),EOMONTH(EDATE($I$8,(B66-1)/2),0)),IF(DAY($I$8)&lt;=14,IF(ISODD(B66),EDATE($I$8,(B66-1)/2),EDATE(MIN($I$8+15,EOMONTH($I$8,0)),(B66-1)/2)),EDATE(IF(ISODD(B66),$I$8,$I$8-15),B66/2))))),IF(B66=1,$I$8,EDATE($I$8,$D$15*(B66-1)))))))</f>
        <v>47453</v>
      </c>
      <c r="D66" s="32">
        <f t="shared" si="6"/>
        <v>16345309.330000004</v>
      </c>
      <c r="E66" s="33">
        <f>IF(B66="","",IF($D$17,IF(OR(B66=$D$16,$I$11&gt;ROUND((1+$I$10)*I65,2)),ROUND((1+$I$10)*I65,2),$I$11),IF(OR(B66=$D$16,$I$11&gt;(1+$I$10)*I65),(I+$I$10)*I65,$I$11)))</f>
        <v>692860.94</v>
      </c>
      <c r="F66" s="39"/>
      <c r="G66" s="33">
        <f t="shared" si="7"/>
        <v>246814.17</v>
      </c>
      <c r="H66" s="33">
        <f t="shared" si="8"/>
        <v>446046.7699999999</v>
      </c>
      <c r="I66" s="38">
        <f t="shared" si="9"/>
        <v>15899262.560000004</v>
      </c>
    </row>
    <row r="67" spans="1:9" ht="18" customHeight="1" x14ac:dyDescent="0.25">
      <c r="A67" s="3"/>
      <c r="B67" s="31">
        <f t="shared" si="5"/>
        <v>47</v>
      </c>
      <c r="C67" s="43">
        <f>IF(B67="","",IF($D$14=26,IF(B67=1,$I$8,C66+14),IF($D$14=52,IF(B67=1,$I$8,C66+7),IF($D$14=24,IF(B67=1,$I$8,IF($I$8=EOMONTH($I$8,0),IF(ISODD(B67),EOMONTH(EDATE($I$8,(B67-1)/2),0),EDATE(DATE(YEAR($I$8),MONTH($I$8)+1,15),(B67-1)/2)),IF(DAY($I$8)=15,IF(ISODD(B67),EDATE($I$8,(B67-1)/2),EOMONTH(EDATE($I$8,(B67-1)/2),0)),IF(DAY($I$8)&lt;=14,IF(ISODD(B67),EDATE($I$8,(B67-1)/2),EDATE(MIN($I$8+15,EOMONTH($I$8,0)),(B67-1)/2)),EDATE(IF(ISODD(B67),$I$8,$I$8-15),B67/2))))),IF(B67=1,$I$8,EDATE($I$8,$D$15*(B67-1)))))))</f>
        <v>47484</v>
      </c>
      <c r="D67" s="32">
        <f t="shared" si="6"/>
        <v>15899262.560000004</v>
      </c>
      <c r="E67" s="33">
        <f>IF(B67="","",IF($D$17,IF(OR(B67=$D$16,$I$11&gt;ROUND((1+$I$10)*I66,2)),ROUND((1+$I$10)*I66,2),$I$11),IF(OR(B67=$D$16,$I$11&gt;(1+$I$10)*I66),(I+$I$10)*I66,$I$11)))</f>
        <v>692860.94</v>
      </c>
      <c r="F67" s="39"/>
      <c r="G67" s="33">
        <f t="shared" si="7"/>
        <v>240078.86</v>
      </c>
      <c r="H67" s="33">
        <f t="shared" si="8"/>
        <v>452782.07999999996</v>
      </c>
      <c r="I67" s="38">
        <f t="shared" si="9"/>
        <v>15446480.480000004</v>
      </c>
    </row>
    <row r="68" spans="1:9" ht="18" customHeight="1" x14ac:dyDescent="0.25">
      <c r="A68" s="3"/>
      <c r="B68" s="31">
        <f t="shared" si="5"/>
        <v>48</v>
      </c>
      <c r="C68" s="43">
        <f>IF(B68="","",IF($D$14=26,IF(B68=1,$I$8,C67+14),IF($D$14=52,IF(B68=1,$I$8,C67+7),IF($D$14=24,IF(B68=1,$I$8,IF($I$8=EOMONTH($I$8,0),IF(ISODD(B68),EOMONTH(EDATE($I$8,(B68-1)/2),0),EDATE(DATE(YEAR($I$8),MONTH($I$8)+1,15),(B68-1)/2)),IF(DAY($I$8)=15,IF(ISODD(B68),EDATE($I$8,(B68-1)/2),EOMONTH(EDATE($I$8,(B68-1)/2),0)),IF(DAY($I$8)&lt;=14,IF(ISODD(B68),EDATE($I$8,(B68-1)/2),EDATE(MIN($I$8+15,EOMONTH($I$8,0)),(B68-1)/2)),EDATE(IF(ISODD(B68),$I$8,$I$8-15),B68/2))))),IF(B68=1,$I$8,EDATE($I$8,$D$15*(B68-1)))))))</f>
        <v>47515</v>
      </c>
      <c r="D68" s="32">
        <f t="shared" si="6"/>
        <v>15446480.480000004</v>
      </c>
      <c r="E68" s="33">
        <f>IF(B68="","",IF($D$17,IF(OR(B68=$D$16,$I$11&gt;ROUND((1+$I$10)*I67,2)),ROUND((1+$I$10)*I67,2),$I$11),IF(OR(B68=$D$16,$I$11&gt;(1+$I$10)*I67),(I+$I$10)*I67,$I$11)))</f>
        <v>692860.94</v>
      </c>
      <c r="F68" s="39"/>
      <c r="G68" s="33">
        <f t="shared" si="7"/>
        <v>233241.86</v>
      </c>
      <c r="H68" s="33">
        <f t="shared" si="8"/>
        <v>459619.07999999996</v>
      </c>
      <c r="I68" s="38">
        <f t="shared" si="9"/>
        <v>14986861.400000004</v>
      </c>
    </row>
    <row r="69" spans="1:9" ht="18" customHeight="1" x14ac:dyDescent="0.25">
      <c r="A69" s="3"/>
      <c r="B69" s="31">
        <f t="shared" si="5"/>
        <v>49</v>
      </c>
      <c r="C69" s="43">
        <f>IF(B69="","",IF($D$14=26,IF(B69=1,$I$8,C68+14),IF($D$14=52,IF(B69=1,$I$8,C68+7),IF($D$14=24,IF(B69=1,$I$8,IF($I$8=EOMONTH($I$8,0),IF(ISODD(B69),EOMONTH(EDATE($I$8,(B69-1)/2),0),EDATE(DATE(YEAR($I$8),MONTH($I$8)+1,15),(B69-1)/2)),IF(DAY($I$8)=15,IF(ISODD(B69),EDATE($I$8,(B69-1)/2),EOMONTH(EDATE($I$8,(B69-1)/2),0)),IF(DAY($I$8)&lt;=14,IF(ISODD(B69),EDATE($I$8,(B69-1)/2),EDATE(MIN($I$8+15,EOMONTH($I$8,0)),(B69-1)/2)),EDATE(IF(ISODD(B69),$I$8,$I$8-15),B69/2))))),IF(B69=1,$I$8,EDATE($I$8,$D$15*(B69-1)))))))</f>
        <v>47543</v>
      </c>
      <c r="D69" s="32">
        <f t="shared" si="6"/>
        <v>14986861.400000004</v>
      </c>
      <c r="E69" s="33">
        <f>IF(B69="","",IF($D$17,IF(OR(B69=$D$16,$I$11&gt;ROUND((1+$I$10)*I68,2)),ROUND((1+$I$10)*I68,2),$I$11),IF(OR(B69=$D$16,$I$11&gt;(1+$I$10)*I68),(I+$I$10)*I68,$I$11)))</f>
        <v>692860.94</v>
      </c>
      <c r="F69" s="39"/>
      <c r="G69" s="33">
        <f t="shared" si="7"/>
        <v>226301.61</v>
      </c>
      <c r="H69" s="33">
        <f t="shared" si="8"/>
        <v>466559.32999999996</v>
      </c>
      <c r="I69" s="38">
        <f t="shared" si="9"/>
        <v>14520302.070000004</v>
      </c>
    </row>
    <row r="70" spans="1:9" ht="18" customHeight="1" x14ac:dyDescent="0.25">
      <c r="A70" s="3"/>
      <c r="B70" s="31">
        <f t="shared" si="5"/>
        <v>50</v>
      </c>
      <c r="C70" s="43">
        <f>IF(B70="","",IF($D$14=26,IF(B70=1,$I$8,C69+14),IF($D$14=52,IF(B70=1,$I$8,C69+7),IF($D$14=24,IF(B70=1,$I$8,IF($I$8=EOMONTH($I$8,0),IF(ISODD(B70),EOMONTH(EDATE($I$8,(B70-1)/2),0),EDATE(DATE(YEAR($I$8),MONTH($I$8)+1,15),(B70-1)/2)),IF(DAY($I$8)=15,IF(ISODD(B70),EDATE($I$8,(B70-1)/2),EOMONTH(EDATE($I$8,(B70-1)/2),0)),IF(DAY($I$8)&lt;=14,IF(ISODD(B70),EDATE($I$8,(B70-1)/2),EDATE(MIN($I$8+15,EOMONTH($I$8,0)),(B70-1)/2)),EDATE(IF(ISODD(B70),$I$8,$I$8-15),B70/2))))),IF(B70=1,$I$8,EDATE($I$8,$D$15*(B70-1)))))))</f>
        <v>47574</v>
      </c>
      <c r="D70" s="32">
        <f t="shared" si="6"/>
        <v>14520302.070000004</v>
      </c>
      <c r="E70" s="33">
        <f>IF(B70="","",IF($D$17,IF(OR(B70=$D$16,$I$11&gt;ROUND((1+$I$10)*I69,2)),ROUND((1+$I$10)*I69,2),$I$11),IF(OR(B70=$D$16,$I$11&gt;(1+$I$10)*I69),(I+$I$10)*I69,$I$11)))</f>
        <v>692860.94</v>
      </c>
      <c r="F70" s="39"/>
      <c r="G70" s="33">
        <f t="shared" si="7"/>
        <v>219256.56</v>
      </c>
      <c r="H70" s="33">
        <f t="shared" si="8"/>
        <v>473604.37999999995</v>
      </c>
      <c r="I70" s="38">
        <f t="shared" si="9"/>
        <v>14046697.690000003</v>
      </c>
    </row>
    <row r="71" spans="1:9" ht="18" customHeight="1" x14ac:dyDescent="0.25">
      <c r="A71" s="3"/>
      <c r="B71" s="31">
        <f t="shared" si="5"/>
        <v>51</v>
      </c>
      <c r="C71" s="43">
        <f>IF(B71="","",IF($D$14=26,IF(B71=1,$I$8,C70+14),IF($D$14=52,IF(B71=1,$I$8,C70+7),IF($D$14=24,IF(B71=1,$I$8,IF($I$8=EOMONTH($I$8,0),IF(ISODD(B71),EOMONTH(EDATE($I$8,(B71-1)/2),0),EDATE(DATE(YEAR($I$8),MONTH($I$8)+1,15),(B71-1)/2)),IF(DAY($I$8)=15,IF(ISODD(B71),EDATE($I$8,(B71-1)/2),EOMONTH(EDATE($I$8,(B71-1)/2),0)),IF(DAY($I$8)&lt;=14,IF(ISODD(B71),EDATE($I$8,(B71-1)/2),EDATE(MIN($I$8+15,EOMONTH($I$8,0)),(B71-1)/2)),EDATE(IF(ISODD(B71),$I$8,$I$8-15),B71/2))))),IF(B71=1,$I$8,EDATE($I$8,$D$15*(B71-1)))))))</f>
        <v>47604</v>
      </c>
      <c r="D71" s="32">
        <f t="shared" si="6"/>
        <v>14046697.690000003</v>
      </c>
      <c r="E71" s="33">
        <f>IF(B71="","",IF($D$17,IF(OR(B71=$D$16,$I$11&gt;ROUND((1+$I$10)*I70,2)),ROUND((1+$I$10)*I70,2),$I$11),IF(OR(B71=$D$16,$I$11&gt;(1+$I$10)*I70),(I+$I$10)*I70,$I$11)))</f>
        <v>692860.94</v>
      </c>
      <c r="F71" s="39"/>
      <c r="G71" s="33">
        <f t="shared" si="7"/>
        <v>212105.14</v>
      </c>
      <c r="H71" s="33">
        <f t="shared" si="8"/>
        <v>480755.79999999993</v>
      </c>
      <c r="I71" s="38">
        <f t="shared" si="9"/>
        <v>13565941.890000002</v>
      </c>
    </row>
    <row r="72" spans="1:9" ht="18" customHeight="1" x14ac:dyDescent="0.25">
      <c r="A72" s="3"/>
      <c r="B72" s="31">
        <f t="shared" si="5"/>
        <v>52</v>
      </c>
      <c r="C72" s="43">
        <f>IF(B72="","",IF($D$14=26,IF(B72=1,$I$8,C71+14),IF($D$14=52,IF(B72=1,$I$8,C71+7),IF($D$14=24,IF(B72=1,$I$8,IF($I$8=EOMONTH($I$8,0),IF(ISODD(B72),EOMONTH(EDATE($I$8,(B72-1)/2),0),EDATE(DATE(YEAR($I$8),MONTH($I$8)+1,15),(B72-1)/2)),IF(DAY($I$8)=15,IF(ISODD(B72),EDATE($I$8,(B72-1)/2),EOMONTH(EDATE($I$8,(B72-1)/2),0)),IF(DAY($I$8)&lt;=14,IF(ISODD(B72),EDATE($I$8,(B72-1)/2),EDATE(MIN($I$8+15,EOMONTH($I$8,0)),(B72-1)/2)),EDATE(IF(ISODD(B72),$I$8,$I$8-15),B72/2))))),IF(B72=1,$I$8,EDATE($I$8,$D$15*(B72-1)))))))</f>
        <v>47635</v>
      </c>
      <c r="D72" s="32">
        <f t="shared" si="6"/>
        <v>13565941.890000002</v>
      </c>
      <c r="E72" s="33">
        <f>IF(B72="","",IF($D$17,IF(OR(B72=$D$16,$I$11&gt;ROUND((1+$I$10)*I71,2)),ROUND((1+$I$10)*I71,2),$I$11),IF(OR(B72=$D$16,$I$11&gt;(1+$I$10)*I71),(I+$I$10)*I71,$I$11)))</f>
        <v>692860.94</v>
      </c>
      <c r="F72" s="39"/>
      <c r="G72" s="33">
        <f t="shared" si="7"/>
        <v>204845.72</v>
      </c>
      <c r="H72" s="33">
        <f t="shared" si="8"/>
        <v>488015.22</v>
      </c>
      <c r="I72" s="38">
        <f t="shared" si="9"/>
        <v>13077926.670000002</v>
      </c>
    </row>
    <row r="73" spans="1:9" ht="18" customHeight="1" x14ac:dyDescent="0.25">
      <c r="A73" s="3"/>
      <c r="B73" s="31">
        <f t="shared" si="5"/>
        <v>53</v>
      </c>
      <c r="C73" s="43">
        <f>IF(B73="","",IF($D$14=26,IF(B73=1,$I$8,C72+14),IF($D$14=52,IF(B73=1,$I$8,C72+7),IF($D$14=24,IF(B73=1,$I$8,IF($I$8=EOMONTH($I$8,0),IF(ISODD(B73),EOMONTH(EDATE($I$8,(B73-1)/2),0),EDATE(DATE(YEAR($I$8),MONTH($I$8)+1,15),(B73-1)/2)),IF(DAY($I$8)=15,IF(ISODD(B73),EDATE($I$8,(B73-1)/2),EOMONTH(EDATE($I$8,(B73-1)/2),0)),IF(DAY($I$8)&lt;=14,IF(ISODD(B73),EDATE($I$8,(B73-1)/2),EDATE(MIN($I$8+15,EOMONTH($I$8,0)),(B73-1)/2)),EDATE(IF(ISODD(B73),$I$8,$I$8-15),B73/2))))),IF(B73=1,$I$8,EDATE($I$8,$D$15*(B73-1)))))))</f>
        <v>47665</v>
      </c>
      <c r="D73" s="32">
        <f t="shared" si="6"/>
        <v>13077926.670000002</v>
      </c>
      <c r="E73" s="33">
        <f>IF(B73="","",IF($D$17,IF(OR(B73=$D$16,$I$11&gt;ROUND((1+$I$10)*I72,2)),ROUND((1+$I$10)*I72,2),$I$11),IF(OR(B73=$D$16,$I$11&gt;(1+$I$10)*I72),(I+$I$10)*I72,$I$11)))</f>
        <v>692860.94</v>
      </c>
      <c r="F73" s="39"/>
      <c r="G73" s="33">
        <f t="shared" si="7"/>
        <v>197476.69</v>
      </c>
      <c r="H73" s="33">
        <f t="shared" si="8"/>
        <v>495384.24999999994</v>
      </c>
      <c r="I73" s="38">
        <f t="shared" si="9"/>
        <v>12582542.420000002</v>
      </c>
    </row>
    <row r="74" spans="1:9" ht="18" customHeight="1" x14ac:dyDescent="0.25">
      <c r="A74" s="3"/>
      <c r="B74" s="31">
        <f t="shared" si="5"/>
        <v>54</v>
      </c>
      <c r="C74" s="43">
        <f>IF(B74="","",IF($D$14=26,IF(B74=1,$I$8,C73+14),IF($D$14=52,IF(B74=1,$I$8,C73+7),IF($D$14=24,IF(B74=1,$I$8,IF($I$8=EOMONTH($I$8,0),IF(ISODD(B74),EOMONTH(EDATE($I$8,(B74-1)/2),0),EDATE(DATE(YEAR($I$8),MONTH($I$8)+1,15),(B74-1)/2)),IF(DAY($I$8)=15,IF(ISODD(B74),EDATE($I$8,(B74-1)/2),EOMONTH(EDATE($I$8,(B74-1)/2),0)),IF(DAY($I$8)&lt;=14,IF(ISODD(B74),EDATE($I$8,(B74-1)/2),EDATE(MIN($I$8+15,EOMONTH($I$8,0)),(B74-1)/2)),EDATE(IF(ISODD(B74),$I$8,$I$8-15),B74/2))))),IF(B74=1,$I$8,EDATE($I$8,$D$15*(B74-1)))))))</f>
        <v>47696</v>
      </c>
      <c r="D74" s="32">
        <f t="shared" si="6"/>
        <v>12582542.420000002</v>
      </c>
      <c r="E74" s="33">
        <f>IF(B74="","",IF($D$17,IF(OR(B74=$D$16,$I$11&gt;ROUND((1+$I$10)*I73,2)),ROUND((1+$I$10)*I73,2),$I$11),IF(OR(B74=$D$16,$I$11&gt;(1+$I$10)*I73),(I+$I$10)*I73,$I$11)))</f>
        <v>692860.94</v>
      </c>
      <c r="F74" s="39"/>
      <c r="G74" s="33">
        <f t="shared" si="7"/>
        <v>189996.39</v>
      </c>
      <c r="H74" s="33">
        <f t="shared" si="8"/>
        <v>502864.54999999993</v>
      </c>
      <c r="I74" s="38">
        <f t="shared" si="9"/>
        <v>12079677.870000001</v>
      </c>
    </row>
    <row r="75" spans="1:9" ht="18" customHeight="1" x14ac:dyDescent="0.25">
      <c r="A75" s="3"/>
      <c r="B75" s="31">
        <f t="shared" si="5"/>
        <v>55</v>
      </c>
      <c r="C75" s="43">
        <f>IF(B75="","",IF($D$14=26,IF(B75=1,$I$8,C74+14),IF($D$14=52,IF(B75=1,$I$8,C74+7),IF($D$14=24,IF(B75=1,$I$8,IF($I$8=EOMONTH($I$8,0),IF(ISODD(B75),EOMONTH(EDATE($I$8,(B75-1)/2),0),EDATE(DATE(YEAR($I$8),MONTH($I$8)+1,15),(B75-1)/2)),IF(DAY($I$8)=15,IF(ISODD(B75),EDATE($I$8,(B75-1)/2),EOMONTH(EDATE($I$8,(B75-1)/2),0)),IF(DAY($I$8)&lt;=14,IF(ISODD(B75),EDATE($I$8,(B75-1)/2),EDATE(MIN($I$8+15,EOMONTH($I$8,0)),(B75-1)/2)),EDATE(IF(ISODD(B75),$I$8,$I$8-15),B75/2))))),IF(B75=1,$I$8,EDATE($I$8,$D$15*(B75-1)))))))</f>
        <v>47727</v>
      </c>
      <c r="D75" s="32">
        <f t="shared" si="6"/>
        <v>12079677.870000001</v>
      </c>
      <c r="E75" s="33">
        <f>IF(B75="","",IF($D$17,IF(OR(B75=$D$16,$I$11&gt;ROUND((1+$I$10)*I74,2)),ROUND((1+$I$10)*I74,2),$I$11),IF(OR(B75=$D$16,$I$11&gt;(1+$I$10)*I74),(I+$I$10)*I74,$I$11)))</f>
        <v>692860.94</v>
      </c>
      <c r="F75" s="39"/>
      <c r="G75" s="33">
        <f t="shared" si="7"/>
        <v>182403.14</v>
      </c>
      <c r="H75" s="33">
        <f t="shared" si="8"/>
        <v>510457.79999999993</v>
      </c>
      <c r="I75" s="38">
        <f t="shared" si="9"/>
        <v>11569220.07</v>
      </c>
    </row>
    <row r="76" spans="1:9" ht="18" customHeight="1" x14ac:dyDescent="0.25">
      <c r="A76" s="3"/>
      <c r="B76" s="31">
        <f t="shared" si="5"/>
        <v>56</v>
      </c>
      <c r="C76" s="43">
        <f>IF(B76="","",IF($D$14=26,IF(B76=1,$I$8,C75+14),IF($D$14=52,IF(B76=1,$I$8,C75+7),IF($D$14=24,IF(B76=1,$I$8,IF($I$8=EOMONTH($I$8,0),IF(ISODD(B76),EOMONTH(EDATE($I$8,(B76-1)/2),0),EDATE(DATE(YEAR($I$8),MONTH($I$8)+1,15),(B76-1)/2)),IF(DAY($I$8)=15,IF(ISODD(B76),EDATE($I$8,(B76-1)/2),EOMONTH(EDATE($I$8,(B76-1)/2),0)),IF(DAY($I$8)&lt;=14,IF(ISODD(B76),EDATE($I$8,(B76-1)/2),EDATE(MIN($I$8+15,EOMONTH($I$8,0)),(B76-1)/2)),EDATE(IF(ISODD(B76),$I$8,$I$8-15),B76/2))))),IF(B76=1,$I$8,EDATE($I$8,$D$15*(B76-1)))))))</f>
        <v>47757</v>
      </c>
      <c r="D76" s="32">
        <f t="shared" si="6"/>
        <v>11569220.07</v>
      </c>
      <c r="E76" s="33">
        <f>IF(B76="","",IF($D$17,IF(OR(B76=$D$16,$I$11&gt;ROUND((1+$I$10)*I75,2)),ROUND((1+$I$10)*I75,2),$I$11),IF(OR(B76=$D$16,$I$11&gt;(1+$I$10)*I75),(I+$I$10)*I75,$I$11)))</f>
        <v>692860.94</v>
      </c>
      <c r="F76" s="39"/>
      <c r="G76" s="33">
        <f t="shared" si="7"/>
        <v>174695.22</v>
      </c>
      <c r="H76" s="33">
        <f t="shared" si="8"/>
        <v>518165.72</v>
      </c>
      <c r="I76" s="38">
        <f t="shared" si="9"/>
        <v>11051054.35</v>
      </c>
    </row>
    <row r="77" spans="1:9" ht="18" customHeight="1" x14ac:dyDescent="0.25">
      <c r="A77" s="3"/>
      <c r="B77" s="31">
        <f t="shared" si="5"/>
        <v>57</v>
      </c>
      <c r="C77" s="43">
        <f>IF(B77="","",IF($D$14=26,IF(B77=1,$I$8,C76+14),IF($D$14=52,IF(B77=1,$I$8,C76+7),IF($D$14=24,IF(B77=1,$I$8,IF($I$8=EOMONTH($I$8,0),IF(ISODD(B77),EOMONTH(EDATE($I$8,(B77-1)/2),0),EDATE(DATE(YEAR($I$8),MONTH($I$8)+1,15),(B77-1)/2)),IF(DAY($I$8)=15,IF(ISODD(B77),EDATE($I$8,(B77-1)/2),EOMONTH(EDATE($I$8,(B77-1)/2),0)),IF(DAY($I$8)&lt;=14,IF(ISODD(B77),EDATE($I$8,(B77-1)/2),EDATE(MIN($I$8+15,EOMONTH($I$8,0)),(B77-1)/2)),EDATE(IF(ISODD(B77),$I$8,$I$8-15),B77/2))))),IF(B77=1,$I$8,EDATE($I$8,$D$15*(B77-1)))))))</f>
        <v>47788</v>
      </c>
      <c r="D77" s="32">
        <f t="shared" si="6"/>
        <v>11051054.35</v>
      </c>
      <c r="E77" s="33">
        <f>IF(B77="","",IF($D$17,IF(OR(B77=$D$16,$I$11&gt;ROUND((1+$I$10)*I76,2)),ROUND((1+$I$10)*I76,2),$I$11),IF(OR(B77=$D$16,$I$11&gt;(1+$I$10)*I76),(I+$I$10)*I76,$I$11)))</f>
        <v>692860.94</v>
      </c>
      <c r="F77" s="39"/>
      <c r="G77" s="33">
        <f t="shared" si="7"/>
        <v>166870.92000000001</v>
      </c>
      <c r="H77" s="33">
        <f t="shared" si="8"/>
        <v>525990.0199999999</v>
      </c>
      <c r="I77" s="38">
        <f t="shared" si="9"/>
        <v>10525064.33</v>
      </c>
    </row>
    <row r="78" spans="1:9" ht="18" customHeight="1" x14ac:dyDescent="0.25">
      <c r="A78" s="3"/>
      <c r="B78" s="31">
        <f t="shared" si="5"/>
        <v>58</v>
      </c>
      <c r="C78" s="43">
        <f>IF(B78="","",IF($D$14=26,IF(B78=1,$I$8,C77+14),IF($D$14=52,IF(B78=1,$I$8,C77+7),IF($D$14=24,IF(B78=1,$I$8,IF($I$8=EOMONTH($I$8,0),IF(ISODD(B78),EOMONTH(EDATE($I$8,(B78-1)/2),0),EDATE(DATE(YEAR($I$8),MONTH($I$8)+1,15),(B78-1)/2)),IF(DAY($I$8)=15,IF(ISODD(B78),EDATE($I$8,(B78-1)/2),EOMONTH(EDATE($I$8,(B78-1)/2),0)),IF(DAY($I$8)&lt;=14,IF(ISODD(B78),EDATE($I$8,(B78-1)/2),EDATE(MIN($I$8+15,EOMONTH($I$8,0)),(B78-1)/2)),EDATE(IF(ISODD(B78),$I$8,$I$8-15),B78/2))))),IF(B78=1,$I$8,EDATE($I$8,$D$15*(B78-1)))))))</f>
        <v>47818</v>
      </c>
      <c r="D78" s="32">
        <f t="shared" si="6"/>
        <v>10525064.33</v>
      </c>
      <c r="E78" s="33">
        <f>IF(B78="","",IF($D$17,IF(OR(B78=$D$16,$I$11&gt;ROUND((1+$I$10)*I77,2)),ROUND((1+$I$10)*I77,2),$I$11),IF(OR(B78=$D$16,$I$11&gt;(1+$I$10)*I77),(I+$I$10)*I77,$I$11)))</f>
        <v>692860.94</v>
      </c>
      <c r="F78" s="39"/>
      <c r="G78" s="33">
        <f t="shared" si="7"/>
        <v>158928.47</v>
      </c>
      <c r="H78" s="33">
        <f t="shared" si="8"/>
        <v>533932.47</v>
      </c>
      <c r="I78" s="38">
        <f t="shared" si="9"/>
        <v>9991131.8599999994</v>
      </c>
    </row>
    <row r="79" spans="1:9" ht="18" customHeight="1" x14ac:dyDescent="0.25">
      <c r="A79" s="3"/>
      <c r="B79" s="31">
        <f t="shared" si="5"/>
        <v>59</v>
      </c>
      <c r="C79" s="43">
        <f>IF(B79="","",IF($D$14=26,IF(B79=1,$I$8,C78+14),IF($D$14=52,IF(B79=1,$I$8,C78+7),IF($D$14=24,IF(B79=1,$I$8,IF($I$8=EOMONTH($I$8,0),IF(ISODD(B79),EOMONTH(EDATE($I$8,(B79-1)/2),0),EDATE(DATE(YEAR($I$8),MONTH($I$8)+1,15),(B79-1)/2)),IF(DAY($I$8)=15,IF(ISODD(B79),EDATE($I$8,(B79-1)/2),EOMONTH(EDATE($I$8,(B79-1)/2),0)),IF(DAY($I$8)&lt;=14,IF(ISODD(B79),EDATE($I$8,(B79-1)/2),EDATE(MIN($I$8+15,EOMONTH($I$8,0)),(B79-1)/2)),EDATE(IF(ISODD(B79),$I$8,$I$8-15),B79/2))))),IF(B79=1,$I$8,EDATE($I$8,$D$15*(B79-1)))))))</f>
        <v>47849</v>
      </c>
      <c r="D79" s="32">
        <f t="shared" si="6"/>
        <v>9991131.8599999994</v>
      </c>
      <c r="E79" s="33">
        <f>IF(B79="","",IF($D$17,IF(OR(B79=$D$16,$I$11&gt;ROUND((1+$I$10)*I78,2)),ROUND((1+$I$10)*I78,2),$I$11),IF(OR(B79=$D$16,$I$11&gt;(1+$I$10)*I78),(I+$I$10)*I78,$I$11)))</f>
        <v>692860.94</v>
      </c>
      <c r="F79" s="39"/>
      <c r="G79" s="33">
        <f t="shared" si="7"/>
        <v>150866.09</v>
      </c>
      <c r="H79" s="33">
        <f t="shared" si="8"/>
        <v>541994.85</v>
      </c>
      <c r="I79" s="38">
        <f t="shared" si="9"/>
        <v>9449137.0099999998</v>
      </c>
    </row>
    <row r="80" spans="1:9" ht="18" customHeight="1" x14ac:dyDescent="0.25">
      <c r="A80" s="3"/>
      <c r="B80" s="31">
        <f t="shared" si="5"/>
        <v>60</v>
      </c>
      <c r="C80" s="43">
        <f>IF(B80="","",IF($D$14=26,IF(B80=1,$I$8,C79+14),IF($D$14=52,IF(B80=1,$I$8,C79+7),IF($D$14=24,IF(B80=1,$I$8,IF($I$8=EOMONTH($I$8,0),IF(ISODD(B80),EOMONTH(EDATE($I$8,(B80-1)/2),0),EDATE(DATE(YEAR($I$8),MONTH($I$8)+1,15),(B80-1)/2)),IF(DAY($I$8)=15,IF(ISODD(B80),EDATE($I$8,(B80-1)/2),EOMONTH(EDATE($I$8,(B80-1)/2),0)),IF(DAY($I$8)&lt;=14,IF(ISODD(B80),EDATE($I$8,(B80-1)/2),EDATE(MIN($I$8+15,EOMONTH($I$8,0)),(B80-1)/2)),EDATE(IF(ISODD(B80),$I$8,$I$8-15),B80/2))))),IF(B80=1,$I$8,EDATE($I$8,$D$15*(B80-1)))))))</f>
        <v>47880</v>
      </c>
      <c r="D80" s="32">
        <f t="shared" si="6"/>
        <v>9449137.0099999998</v>
      </c>
      <c r="E80" s="33">
        <f>IF(B80="","",IF($D$17,IF(OR(B80=$D$16,$I$11&gt;ROUND((1+$I$10)*I79,2)),ROUND((1+$I$10)*I79,2),$I$11),IF(OR(B80=$D$16,$I$11&gt;(1+$I$10)*I79),(I+$I$10)*I79,$I$11)))</f>
        <v>692860.94</v>
      </c>
      <c r="F80" s="39"/>
      <c r="G80" s="33">
        <f t="shared" si="7"/>
        <v>142681.97</v>
      </c>
      <c r="H80" s="33">
        <f t="shared" si="8"/>
        <v>550178.97</v>
      </c>
      <c r="I80" s="38">
        <f t="shared" si="9"/>
        <v>8898958.0399999991</v>
      </c>
    </row>
    <row r="81" spans="1:9" ht="18" customHeight="1" x14ac:dyDescent="0.25">
      <c r="A81" s="3"/>
      <c r="B81" s="31">
        <f t="shared" si="5"/>
        <v>61</v>
      </c>
      <c r="C81" s="43">
        <f>IF(B81="","",IF($D$14=26,IF(B81=1,$I$8,C80+14),IF($D$14=52,IF(B81=1,$I$8,C80+7),IF($D$14=24,IF(B81=1,$I$8,IF($I$8=EOMONTH($I$8,0),IF(ISODD(B81),EOMONTH(EDATE($I$8,(B81-1)/2),0),EDATE(DATE(YEAR($I$8),MONTH($I$8)+1,15),(B81-1)/2)),IF(DAY($I$8)=15,IF(ISODD(B81),EDATE($I$8,(B81-1)/2),EOMONTH(EDATE($I$8,(B81-1)/2),0)),IF(DAY($I$8)&lt;=14,IF(ISODD(B81),EDATE($I$8,(B81-1)/2),EDATE(MIN($I$8+15,EOMONTH($I$8,0)),(B81-1)/2)),EDATE(IF(ISODD(B81),$I$8,$I$8-15),B81/2))))),IF(B81=1,$I$8,EDATE($I$8,$D$15*(B81-1)))))))</f>
        <v>47908</v>
      </c>
      <c r="D81" s="32">
        <f t="shared" si="6"/>
        <v>8898958.0399999991</v>
      </c>
      <c r="E81" s="33">
        <f>IF(B81="","",IF($D$17,IF(OR(B81=$D$16,$I$11&gt;ROUND((1+$I$10)*I80,2)),ROUND((1+$I$10)*I80,2),$I$11),IF(OR(B81=$D$16,$I$11&gt;(1+$I$10)*I80),(I+$I$10)*I80,$I$11)))</f>
        <v>692860.94</v>
      </c>
      <c r="F81" s="39"/>
      <c r="G81" s="33">
        <f t="shared" si="7"/>
        <v>134374.26999999999</v>
      </c>
      <c r="H81" s="33">
        <f t="shared" si="8"/>
        <v>558486.66999999993</v>
      </c>
      <c r="I81" s="38">
        <f t="shared" si="9"/>
        <v>8340471.3699999992</v>
      </c>
    </row>
    <row r="82" spans="1:9" ht="18" customHeight="1" x14ac:dyDescent="0.25">
      <c r="A82" s="3"/>
      <c r="B82" s="31">
        <f t="shared" si="5"/>
        <v>62</v>
      </c>
      <c r="C82" s="43">
        <f>IF(B82="","",IF($D$14=26,IF(B82=1,$I$8,C81+14),IF($D$14=52,IF(B82=1,$I$8,C81+7),IF($D$14=24,IF(B82=1,$I$8,IF($I$8=EOMONTH($I$8,0),IF(ISODD(B82),EOMONTH(EDATE($I$8,(B82-1)/2),0),EDATE(DATE(YEAR($I$8),MONTH($I$8)+1,15),(B82-1)/2)),IF(DAY($I$8)=15,IF(ISODD(B82),EDATE($I$8,(B82-1)/2),EOMONTH(EDATE($I$8,(B82-1)/2),0)),IF(DAY($I$8)&lt;=14,IF(ISODD(B82),EDATE($I$8,(B82-1)/2),EDATE(MIN($I$8+15,EOMONTH($I$8,0)),(B82-1)/2)),EDATE(IF(ISODD(B82),$I$8,$I$8-15),B82/2))))),IF(B82=1,$I$8,EDATE($I$8,$D$15*(B82-1)))))))</f>
        <v>47939</v>
      </c>
      <c r="D82" s="32">
        <f t="shared" si="6"/>
        <v>8340471.3699999992</v>
      </c>
      <c r="E82" s="33">
        <f>IF(B82="","",IF($D$17,IF(OR(B82=$D$16,$I$11&gt;ROUND((1+$I$10)*I81,2)),ROUND((1+$I$10)*I81,2),$I$11),IF(OR(B82=$D$16,$I$11&gt;(1+$I$10)*I81),(I+$I$10)*I81,$I$11)))</f>
        <v>692860.94</v>
      </c>
      <c r="F82" s="39"/>
      <c r="G82" s="33">
        <f t="shared" si="7"/>
        <v>125941.12</v>
      </c>
      <c r="H82" s="33">
        <f t="shared" si="8"/>
        <v>566919.81999999995</v>
      </c>
      <c r="I82" s="38">
        <f t="shared" si="9"/>
        <v>7773551.5499999989</v>
      </c>
    </row>
    <row r="83" spans="1:9" ht="18" customHeight="1" x14ac:dyDescent="0.25">
      <c r="A83" s="3"/>
      <c r="B83" s="31">
        <f t="shared" si="5"/>
        <v>63</v>
      </c>
      <c r="C83" s="43">
        <f>IF(B83="","",IF($D$14=26,IF(B83=1,$I$8,C82+14),IF($D$14=52,IF(B83=1,$I$8,C82+7),IF($D$14=24,IF(B83=1,$I$8,IF($I$8=EOMONTH($I$8,0),IF(ISODD(B83),EOMONTH(EDATE($I$8,(B83-1)/2),0),EDATE(DATE(YEAR($I$8),MONTH($I$8)+1,15),(B83-1)/2)),IF(DAY($I$8)=15,IF(ISODD(B83),EDATE($I$8,(B83-1)/2),EOMONTH(EDATE($I$8,(B83-1)/2),0)),IF(DAY($I$8)&lt;=14,IF(ISODD(B83),EDATE($I$8,(B83-1)/2),EDATE(MIN($I$8+15,EOMONTH($I$8,0)),(B83-1)/2)),EDATE(IF(ISODD(B83),$I$8,$I$8-15),B83/2))))),IF(B83=1,$I$8,EDATE($I$8,$D$15*(B83-1)))))))</f>
        <v>47969</v>
      </c>
      <c r="D83" s="32">
        <f t="shared" si="6"/>
        <v>7773551.5499999989</v>
      </c>
      <c r="E83" s="33">
        <f>IF(B83="","",IF($D$17,IF(OR(B83=$D$16,$I$11&gt;ROUND((1+$I$10)*I82,2)),ROUND((1+$I$10)*I82,2),$I$11),IF(OR(B83=$D$16,$I$11&gt;(1+$I$10)*I82),(I+$I$10)*I82,$I$11)))</f>
        <v>692860.94</v>
      </c>
      <c r="F83" s="39"/>
      <c r="G83" s="33">
        <f t="shared" si="7"/>
        <v>117380.63</v>
      </c>
      <c r="H83" s="33">
        <f t="shared" si="8"/>
        <v>575480.30999999994</v>
      </c>
      <c r="I83" s="38">
        <f t="shared" si="9"/>
        <v>7198071.2399999993</v>
      </c>
    </row>
    <row r="84" spans="1:9" ht="18" customHeight="1" x14ac:dyDescent="0.25">
      <c r="A84" s="3"/>
      <c r="B84" s="31">
        <f t="shared" si="5"/>
        <v>64</v>
      </c>
      <c r="C84" s="43">
        <f>IF(B84="","",IF($D$14=26,IF(B84=1,$I$8,C83+14),IF($D$14=52,IF(B84=1,$I$8,C83+7),IF($D$14=24,IF(B84=1,$I$8,IF($I$8=EOMONTH($I$8,0),IF(ISODD(B84),EOMONTH(EDATE($I$8,(B84-1)/2),0),EDATE(DATE(YEAR($I$8),MONTH($I$8)+1,15),(B84-1)/2)),IF(DAY($I$8)=15,IF(ISODD(B84),EDATE($I$8,(B84-1)/2),EOMONTH(EDATE($I$8,(B84-1)/2),0)),IF(DAY($I$8)&lt;=14,IF(ISODD(B84),EDATE($I$8,(B84-1)/2),EDATE(MIN($I$8+15,EOMONTH($I$8,0)),(B84-1)/2)),EDATE(IF(ISODD(B84),$I$8,$I$8-15),B84/2))))),IF(B84=1,$I$8,EDATE($I$8,$D$15*(B84-1)))))))</f>
        <v>48000</v>
      </c>
      <c r="D84" s="32">
        <f t="shared" si="6"/>
        <v>7198071.2399999993</v>
      </c>
      <c r="E84" s="33">
        <f>IF(B84="","",IF($D$17,IF(OR(B84=$D$16,$I$11&gt;ROUND((1+$I$10)*I83,2)),ROUND((1+$I$10)*I83,2),$I$11),IF(OR(B84=$D$16,$I$11&gt;(1+$I$10)*I83),(I+$I$10)*I83,$I$11)))</f>
        <v>692860.94</v>
      </c>
      <c r="F84" s="39"/>
      <c r="G84" s="33">
        <f t="shared" si="7"/>
        <v>108690.88</v>
      </c>
      <c r="H84" s="33">
        <f t="shared" si="8"/>
        <v>584170.05999999994</v>
      </c>
      <c r="I84" s="38">
        <f t="shared" si="9"/>
        <v>6613901.1799999997</v>
      </c>
    </row>
    <row r="85" spans="1:9" ht="18" customHeight="1" x14ac:dyDescent="0.25">
      <c r="A85" s="3"/>
      <c r="B85" s="31">
        <f t="shared" si="5"/>
        <v>65</v>
      </c>
      <c r="C85" s="43">
        <f>IF(B85="","",IF($D$14=26,IF(B85=1,$I$8,C84+14),IF($D$14=52,IF(B85=1,$I$8,C84+7),IF($D$14=24,IF(B85=1,$I$8,IF($I$8=EOMONTH($I$8,0),IF(ISODD(B85),EOMONTH(EDATE($I$8,(B85-1)/2),0),EDATE(DATE(YEAR($I$8),MONTH($I$8)+1,15),(B85-1)/2)),IF(DAY($I$8)=15,IF(ISODD(B85),EDATE($I$8,(B85-1)/2),EOMONTH(EDATE($I$8,(B85-1)/2),0)),IF(DAY($I$8)&lt;=14,IF(ISODD(B85),EDATE($I$8,(B85-1)/2),EDATE(MIN($I$8+15,EOMONTH($I$8,0)),(B85-1)/2)),EDATE(IF(ISODD(B85),$I$8,$I$8-15),B85/2))))),IF(B85=1,$I$8,EDATE($I$8,$D$15*(B85-1)))))))</f>
        <v>48030</v>
      </c>
      <c r="D85" s="32">
        <f t="shared" si="6"/>
        <v>6613901.1799999997</v>
      </c>
      <c r="E85" s="33">
        <f>IF(B85="","",IF($D$17,IF(OR(B85=$D$16,$I$11&gt;ROUND((1+$I$10)*I84,2)),ROUND((1+$I$10)*I84,2),$I$11),IF(OR(B85=$D$16,$I$11&gt;(1+$I$10)*I84),(I+$I$10)*I84,$I$11)))</f>
        <v>692860.94</v>
      </c>
      <c r="F85" s="39"/>
      <c r="G85" s="33">
        <f t="shared" si="7"/>
        <v>99869.91</v>
      </c>
      <c r="H85" s="33">
        <f t="shared" si="8"/>
        <v>592991.02999999991</v>
      </c>
      <c r="I85" s="38">
        <f t="shared" si="9"/>
        <v>6020910.1499999994</v>
      </c>
    </row>
    <row r="86" spans="1:9" ht="18" customHeight="1" x14ac:dyDescent="0.25">
      <c r="A86" s="3"/>
      <c r="B86" s="31">
        <f t="shared" si="5"/>
        <v>66</v>
      </c>
      <c r="C86" s="43">
        <f>IF(B86="","",IF($D$14=26,IF(B86=1,$I$8,C85+14),IF($D$14=52,IF(B86=1,$I$8,C85+7),IF($D$14=24,IF(B86=1,$I$8,IF($I$8=EOMONTH($I$8,0),IF(ISODD(B86),EOMONTH(EDATE($I$8,(B86-1)/2),0),EDATE(DATE(YEAR($I$8),MONTH($I$8)+1,15),(B86-1)/2)),IF(DAY($I$8)=15,IF(ISODD(B86),EDATE($I$8,(B86-1)/2),EOMONTH(EDATE($I$8,(B86-1)/2),0)),IF(DAY($I$8)&lt;=14,IF(ISODD(B86),EDATE($I$8,(B86-1)/2),EDATE(MIN($I$8+15,EOMONTH($I$8,0)),(B86-1)/2)),EDATE(IF(ISODD(B86),$I$8,$I$8-15),B86/2))))),IF(B86=1,$I$8,EDATE($I$8,$D$15*(B86-1)))))))</f>
        <v>48061</v>
      </c>
      <c r="D86" s="32">
        <f t="shared" si="6"/>
        <v>6020910.1499999994</v>
      </c>
      <c r="E86" s="33">
        <f>IF(B86="","",IF($D$17,IF(OR(B86=$D$16,$I$11&gt;ROUND((1+$I$10)*I85,2)),ROUND((1+$I$10)*I85,2),$I$11),IF(OR(B86=$D$16,$I$11&gt;(1+$I$10)*I85),(I+$I$10)*I85,$I$11)))</f>
        <v>692860.94</v>
      </c>
      <c r="F86" s="39"/>
      <c r="G86" s="33">
        <f t="shared" si="7"/>
        <v>90915.74</v>
      </c>
      <c r="H86" s="33">
        <f t="shared" si="8"/>
        <v>601945.19999999995</v>
      </c>
      <c r="I86" s="38">
        <f t="shared" si="9"/>
        <v>5418964.9499999993</v>
      </c>
    </row>
    <row r="87" spans="1:9" ht="18" customHeight="1" x14ac:dyDescent="0.25">
      <c r="A87" s="3"/>
      <c r="B87" s="31">
        <f t="shared" si="5"/>
        <v>67</v>
      </c>
      <c r="C87" s="43">
        <f>IF(B87="","",IF($D$14=26,IF(B87=1,$I$8,C86+14),IF($D$14=52,IF(B87=1,$I$8,C86+7),IF($D$14=24,IF(B87=1,$I$8,IF($I$8=EOMONTH($I$8,0),IF(ISODD(B87),EOMONTH(EDATE($I$8,(B87-1)/2),0),EDATE(DATE(YEAR($I$8),MONTH($I$8)+1,15),(B87-1)/2)),IF(DAY($I$8)=15,IF(ISODD(B87),EDATE($I$8,(B87-1)/2),EOMONTH(EDATE($I$8,(B87-1)/2),0)),IF(DAY($I$8)&lt;=14,IF(ISODD(B87),EDATE($I$8,(B87-1)/2),EDATE(MIN($I$8+15,EOMONTH($I$8,0)),(B87-1)/2)),EDATE(IF(ISODD(B87),$I$8,$I$8-15),B87/2))))),IF(B87=1,$I$8,EDATE($I$8,$D$15*(B87-1)))))))</f>
        <v>48092</v>
      </c>
      <c r="D87" s="32">
        <f t="shared" si="6"/>
        <v>5418964.9499999993</v>
      </c>
      <c r="E87" s="33">
        <f>IF(B87="","",IF($D$17,IF(OR(B87=$D$16,$I$11&gt;ROUND((1+$I$10)*I86,2)),ROUND((1+$I$10)*I86,2),$I$11),IF(OR(B87=$D$16,$I$11&gt;(1+$I$10)*I86),(I+$I$10)*I86,$I$11)))</f>
        <v>692860.94</v>
      </c>
      <c r="F87" s="39"/>
      <c r="G87" s="33">
        <f t="shared" si="7"/>
        <v>81826.37</v>
      </c>
      <c r="H87" s="33">
        <f t="shared" si="8"/>
        <v>611034.56999999995</v>
      </c>
      <c r="I87" s="38">
        <f t="shared" si="9"/>
        <v>4807930.379999999</v>
      </c>
    </row>
    <row r="88" spans="1:9" ht="18" customHeight="1" x14ac:dyDescent="0.25">
      <c r="A88" s="3"/>
      <c r="B88" s="31">
        <f t="shared" si="5"/>
        <v>68</v>
      </c>
      <c r="C88" s="43">
        <f>IF(B88="","",IF($D$14=26,IF(B88=1,$I$8,C87+14),IF($D$14=52,IF(B88=1,$I$8,C87+7),IF($D$14=24,IF(B88=1,$I$8,IF($I$8=EOMONTH($I$8,0),IF(ISODD(B88),EOMONTH(EDATE($I$8,(B88-1)/2),0),EDATE(DATE(YEAR($I$8),MONTH($I$8)+1,15),(B88-1)/2)),IF(DAY($I$8)=15,IF(ISODD(B88),EDATE($I$8,(B88-1)/2),EOMONTH(EDATE($I$8,(B88-1)/2),0)),IF(DAY($I$8)&lt;=14,IF(ISODD(B88),EDATE($I$8,(B88-1)/2),EDATE(MIN($I$8+15,EOMONTH($I$8,0)),(B88-1)/2)),EDATE(IF(ISODD(B88),$I$8,$I$8-15),B88/2))))),IF(B88=1,$I$8,EDATE($I$8,$D$15*(B88-1)))))))</f>
        <v>48122</v>
      </c>
      <c r="D88" s="32">
        <f t="shared" si="6"/>
        <v>4807930.379999999</v>
      </c>
      <c r="E88" s="33">
        <f>IF(B88="","",IF($D$17,IF(OR(B88=$D$16,$I$11&gt;ROUND((1+$I$10)*I87,2)),ROUND((1+$I$10)*I87,2),$I$11),IF(OR(B88=$D$16,$I$11&gt;(1+$I$10)*I87),(I+$I$10)*I87,$I$11)))</f>
        <v>692860.94</v>
      </c>
      <c r="F88" s="39"/>
      <c r="G88" s="33">
        <f t="shared" si="7"/>
        <v>72599.75</v>
      </c>
      <c r="H88" s="33">
        <f t="shared" si="8"/>
        <v>620261.18999999994</v>
      </c>
      <c r="I88" s="38">
        <f t="shared" si="9"/>
        <v>4187669.189999999</v>
      </c>
    </row>
    <row r="89" spans="1:9" ht="18" customHeight="1" x14ac:dyDescent="0.25">
      <c r="A89" s="3"/>
      <c r="B89" s="31">
        <f t="shared" si="5"/>
        <v>69</v>
      </c>
      <c r="C89" s="43">
        <f>IF(B89="","",IF($D$14=26,IF(B89=1,$I$8,C88+14),IF($D$14=52,IF(B89=1,$I$8,C88+7),IF($D$14=24,IF(B89=1,$I$8,IF($I$8=EOMONTH($I$8,0),IF(ISODD(B89),EOMONTH(EDATE($I$8,(B89-1)/2),0),EDATE(DATE(YEAR($I$8),MONTH($I$8)+1,15),(B89-1)/2)),IF(DAY($I$8)=15,IF(ISODD(B89),EDATE($I$8,(B89-1)/2),EOMONTH(EDATE($I$8,(B89-1)/2),0)),IF(DAY($I$8)&lt;=14,IF(ISODD(B89),EDATE($I$8,(B89-1)/2),EDATE(MIN($I$8+15,EOMONTH($I$8,0)),(B89-1)/2)),EDATE(IF(ISODD(B89),$I$8,$I$8-15),B89/2))))),IF(B89=1,$I$8,EDATE($I$8,$D$15*(B89-1)))))))</f>
        <v>48153</v>
      </c>
      <c r="D89" s="32">
        <f t="shared" si="6"/>
        <v>4187669.189999999</v>
      </c>
      <c r="E89" s="33">
        <f>IF(B89="","",IF($D$17,IF(OR(B89=$D$16,$I$11&gt;ROUND((1+$I$10)*I88,2)),ROUND((1+$I$10)*I88,2),$I$11),IF(OR(B89=$D$16,$I$11&gt;(1+$I$10)*I88),(I+$I$10)*I88,$I$11)))</f>
        <v>692860.94</v>
      </c>
      <c r="F89" s="39"/>
      <c r="G89" s="33">
        <f t="shared" si="7"/>
        <v>63233.8</v>
      </c>
      <c r="H89" s="33">
        <f t="shared" si="8"/>
        <v>629627.1399999999</v>
      </c>
      <c r="I89" s="38">
        <f t="shared" si="9"/>
        <v>3558042.0499999989</v>
      </c>
    </row>
    <row r="90" spans="1:9" ht="18" customHeight="1" x14ac:dyDescent="0.25">
      <c r="A90" s="3"/>
      <c r="B90" s="31">
        <f t="shared" si="5"/>
        <v>70</v>
      </c>
      <c r="C90" s="43">
        <f>IF(B90="","",IF($D$14=26,IF(B90=1,$I$8,C89+14),IF($D$14=52,IF(B90=1,$I$8,C89+7),IF($D$14=24,IF(B90=1,$I$8,IF($I$8=EOMONTH($I$8,0),IF(ISODD(B90),EOMONTH(EDATE($I$8,(B90-1)/2),0),EDATE(DATE(YEAR($I$8),MONTH($I$8)+1,15),(B90-1)/2)),IF(DAY($I$8)=15,IF(ISODD(B90),EDATE($I$8,(B90-1)/2),EOMONTH(EDATE($I$8,(B90-1)/2),0)),IF(DAY($I$8)&lt;=14,IF(ISODD(B90),EDATE($I$8,(B90-1)/2),EDATE(MIN($I$8+15,EOMONTH($I$8,0)),(B90-1)/2)),EDATE(IF(ISODD(B90),$I$8,$I$8-15),B90/2))))),IF(B90=1,$I$8,EDATE($I$8,$D$15*(B90-1)))))))</f>
        <v>48183</v>
      </c>
      <c r="D90" s="32">
        <f t="shared" si="6"/>
        <v>3558042.0499999989</v>
      </c>
      <c r="E90" s="33">
        <f>IF(B90="","",IF($D$17,IF(OR(B90=$D$16,$I$11&gt;ROUND((1+$I$10)*I89,2)),ROUND((1+$I$10)*I89,2),$I$11),IF(OR(B90=$D$16,$I$11&gt;(1+$I$10)*I89),(I+$I$10)*I89,$I$11)))</f>
        <v>692860.94</v>
      </c>
      <c r="F90" s="39"/>
      <c r="G90" s="33">
        <f t="shared" si="7"/>
        <v>53726.43</v>
      </c>
      <c r="H90" s="33">
        <f t="shared" si="8"/>
        <v>639134.50999999989</v>
      </c>
      <c r="I90" s="38">
        <f t="shared" si="9"/>
        <v>2918907.5399999991</v>
      </c>
    </row>
    <row r="91" spans="1:9" ht="18" customHeight="1" x14ac:dyDescent="0.25">
      <c r="A91" s="3"/>
      <c r="B91" s="31">
        <f t="shared" si="5"/>
        <v>71</v>
      </c>
      <c r="C91" s="43">
        <f>IF(B91="","",IF($D$14=26,IF(B91=1,$I$8,C90+14),IF($D$14=52,IF(B91=1,$I$8,C90+7),IF($D$14=24,IF(B91=1,$I$8,IF($I$8=EOMONTH($I$8,0),IF(ISODD(B91),EOMONTH(EDATE($I$8,(B91-1)/2),0),EDATE(DATE(YEAR($I$8),MONTH($I$8)+1,15),(B91-1)/2)),IF(DAY($I$8)=15,IF(ISODD(B91),EDATE($I$8,(B91-1)/2),EOMONTH(EDATE($I$8,(B91-1)/2),0)),IF(DAY($I$8)&lt;=14,IF(ISODD(B91),EDATE($I$8,(B91-1)/2),EDATE(MIN($I$8+15,EOMONTH($I$8,0)),(B91-1)/2)),EDATE(IF(ISODD(B91),$I$8,$I$8-15),B91/2))))),IF(B91=1,$I$8,EDATE($I$8,$D$15*(B91-1)))))))</f>
        <v>48214</v>
      </c>
      <c r="D91" s="32">
        <f t="shared" si="6"/>
        <v>2918907.5399999991</v>
      </c>
      <c r="E91" s="33">
        <f>IF(B91="","",IF($D$17,IF(OR(B91=$D$16,$I$11&gt;ROUND((1+$I$10)*I90,2)),ROUND((1+$I$10)*I90,2),$I$11),IF(OR(B91=$D$16,$I$11&gt;(1+$I$10)*I90),(I+$I$10)*I90,$I$11)))</f>
        <v>692860.94</v>
      </c>
      <c r="F91" s="39"/>
      <c r="G91" s="33">
        <f t="shared" si="7"/>
        <v>44075.5</v>
      </c>
      <c r="H91" s="33">
        <f t="shared" si="8"/>
        <v>648785.43999999994</v>
      </c>
      <c r="I91" s="38">
        <f t="shared" si="9"/>
        <v>2270122.0999999992</v>
      </c>
    </row>
    <row r="92" spans="1:9" ht="18" customHeight="1" x14ac:dyDescent="0.25">
      <c r="A92" s="3"/>
      <c r="B92" s="31">
        <f t="shared" si="5"/>
        <v>72</v>
      </c>
      <c r="C92" s="43">
        <f>IF(B92="","",IF($D$14=26,IF(B92=1,$I$8,C91+14),IF($D$14=52,IF(B92=1,$I$8,C91+7),IF($D$14=24,IF(B92=1,$I$8,IF($I$8=EOMONTH($I$8,0),IF(ISODD(B92),EOMONTH(EDATE($I$8,(B92-1)/2),0),EDATE(DATE(YEAR($I$8),MONTH($I$8)+1,15),(B92-1)/2)),IF(DAY($I$8)=15,IF(ISODD(B92),EDATE($I$8,(B92-1)/2),EOMONTH(EDATE($I$8,(B92-1)/2),0)),IF(DAY($I$8)&lt;=14,IF(ISODD(B92),EDATE($I$8,(B92-1)/2),EDATE(MIN($I$8+15,EOMONTH($I$8,0)),(B92-1)/2)),EDATE(IF(ISODD(B92),$I$8,$I$8-15),B92/2))))),IF(B92=1,$I$8,EDATE($I$8,$D$15*(B92-1)))))))</f>
        <v>48245</v>
      </c>
      <c r="D92" s="32">
        <f t="shared" si="6"/>
        <v>2270122.0999999992</v>
      </c>
      <c r="E92" s="33">
        <f>IF(B92="","",IF($D$17,IF(OR(B92=$D$16,$I$11&gt;ROUND((1+$I$10)*I91,2)),ROUND((1+$I$10)*I91,2),$I$11),IF(OR(B92=$D$16,$I$11&gt;(1+$I$10)*I91),(I+$I$10)*I91,$I$11)))</f>
        <v>692860.94</v>
      </c>
      <c r="F92" s="39"/>
      <c r="G92" s="33">
        <f t="shared" si="7"/>
        <v>34278.839999999997</v>
      </c>
      <c r="H92" s="33">
        <f t="shared" si="8"/>
        <v>658582.1</v>
      </c>
      <c r="I92" s="38">
        <f t="shared" si="9"/>
        <v>1611539.9999999991</v>
      </c>
    </row>
    <row r="93" spans="1:9" ht="18" customHeight="1" x14ac:dyDescent="0.25">
      <c r="A93" s="3"/>
      <c r="B93" s="31">
        <f t="shared" si="5"/>
        <v>73</v>
      </c>
      <c r="C93" s="43">
        <f>IF(B93="","",IF($D$14=26,IF(B93=1,$I$8,C92+14),IF($D$14=52,IF(B93=1,$I$8,C92+7),IF($D$14=24,IF(B93=1,$I$8,IF($I$8=EOMONTH($I$8,0),IF(ISODD(B93),EOMONTH(EDATE($I$8,(B93-1)/2),0),EDATE(DATE(YEAR($I$8),MONTH($I$8)+1,15),(B93-1)/2)),IF(DAY($I$8)=15,IF(ISODD(B93),EDATE($I$8,(B93-1)/2),EOMONTH(EDATE($I$8,(B93-1)/2),0)),IF(DAY($I$8)&lt;=14,IF(ISODD(B93),EDATE($I$8,(B93-1)/2),EDATE(MIN($I$8+15,EOMONTH($I$8,0)),(B93-1)/2)),EDATE(IF(ISODD(B93),$I$8,$I$8-15),B93/2))))),IF(B93=1,$I$8,EDATE($I$8,$D$15*(B93-1)))))))</f>
        <v>48274</v>
      </c>
      <c r="D93" s="32">
        <f t="shared" si="6"/>
        <v>1611539.9999999991</v>
      </c>
      <c r="E93" s="33">
        <f>IF(B93="","",IF($D$17,IF(OR(B93=$D$16,$I$11&gt;ROUND((1+$I$10)*I92,2)),ROUND((1+$I$10)*I92,2),$I$11),IF(OR(B93=$D$16,$I$11&gt;(1+$I$10)*I92),(I+$I$10)*I92,$I$11)))</f>
        <v>692860.94</v>
      </c>
      <c r="F93" s="39"/>
      <c r="G93" s="33">
        <f t="shared" si="7"/>
        <v>24334.25</v>
      </c>
      <c r="H93" s="33">
        <f t="shared" si="8"/>
        <v>668526.68999999994</v>
      </c>
      <c r="I93" s="38">
        <f t="shared" si="9"/>
        <v>943013.30999999912</v>
      </c>
    </row>
    <row r="94" spans="1:9" ht="18" customHeight="1" x14ac:dyDescent="0.25">
      <c r="A94" s="3"/>
      <c r="B94" s="31">
        <f t="shared" si="5"/>
        <v>74</v>
      </c>
      <c r="C94" s="43">
        <f>IF(B94="","",IF($D$14=26,IF(B94=1,$I$8,C93+14),IF($D$14=52,IF(B94=1,$I$8,C93+7),IF($D$14=24,IF(B94=1,$I$8,IF($I$8=EOMONTH($I$8,0),IF(ISODD(B94),EOMONTH(EDATE($I$8,(B94-1)/2),0),EDATE(DATE(YEAR($I$8),MONTH($I$8)+1,15),(B94-1)/2)),IF(DAY($I$8)=15,IF(ISODD(B94),EDATE($I$8,(B94-1)/2),EOMONTH(EDATE($I$8,(B94-1)/2),0)),IF(DAY($I$8)&lt;=14,IF(ISODD(B94),EDATE($I$8,(B94-1)/2),EDATE(MIN($I$8+15,EOMONTH($I$8,0)),(B94-1)/2)),EDATE(IF(ISODD(B94),$I$8,$I$8-15),B94/2))))),IF(B94=1,$I$8,EDATE($I$8,$D$15*(B94-1)))))))</f>
        <v>48305</v>
      </c>
      <c r="D94" s="32">
        <f t="shared" si="6"/>
        <v>943013.30999999912</v>
      </c>
      <c r="E94" s="33">
        <f>IF(B94="","",IF($D$17,IF(OR(B94=$D$16,$I$11&gt;ROUND((1+$I$10)*I93,2)),ROUND((1+$I$10)*I93,2),$I$11),IF(OR(B94=$D$16,$I$11&gt;(1+$I$10)*I93),(I+$I$10)*I93,$I$11)))</f>
        <v>692860.94</v>
      </c>
      <c r="F94" s="39"/>
      <c r="G94" s="33">
        <f t="shared" si="7"/>
        <v>14239.5</v>
      </c>
      <c r="H94" s="33">
        <f t="shared" si="8"/>
        <v>678621.44</v>
      </c>
      <c r="I94" s="38">
        <f t="shared" si="9"/>
        <v>264391.86999999918</v>
      </c>
    </row>
    <row r="95" spans="1:9" ht="18" customHeight="1" x14ac:dyDescent="0.25">
      <c r="A95" s="3"/>
      <c r="B95" s="31">
        <f t="shared" si="5"/>
        <v>75</v>
      </c>
      <c r="C95" s="43">
        <f>IF(B95="","",IF($D$14=26,IF(B95=1,$I$8,C94+14),IF($D$14=52,IF(B95=1,$I$8,C94+7),IF($D$14=24,IF(B95=1,$I$8,IF($I$8=EOMONTH($I$8,0),IF(ISODD(B95),EOMONTH(EDATE($I$8,(B95-1)/2),0),EDATE(DATE(YEAR($I$8),MONTH($I$8)+1,15),(B95-1)/2)),IF(DAY($I$8)=15,IF(ISODD(B95),EDATE($I$8,(B95-1)/2),EOMONTH(EDATE($I$8,(B95-1)/2),0)),IF(DAY($I$8)&lt;=14,IF(ISODD(B95),EDATE($I$8,(B95-1)/2),EDATE(MIN($I$8+15,EOMONTH($I$8,0)),(B95-1)/2)),EDATE(IF(ISODD(B95),$I$8,$I$8-15),B95/2))))),IF(B95=1,$I$8,EDATE($I$8,$D$15*(B95-1)))))))</f>
        <v>48335</v>
      </c>
      <c r="D95" s="32">
        <f t="shared" si="6"/>
        <v>264391.86999999918</v>
      </c>
      <c r="E95" s="33">
        <f>IF(B95="","",IF($D$17,IF(OR(B95=$D$16,$I$11&gt;ROUND((1+$I$10)*I94,2)),ROUND((1+$I$10)*I94,2),$I$11),IF(OR(B95=$D$16,$I$11&gt;(1+$I$10)*I94),(I+$I$10)*I94,$I$11)))</f>
        <v>268384.19</v>
      </c>
      <c r="F95" s="39"/>
      <c r="G95" s="33">
        <f t="shared" si="7"/>
        <v>3992.32</v>
      </c>
      <c r="H95" s="33">
        <f t="shared" si="8"/>
        <v>264391.87</v>
      </c>
      <c r="I95" s="38">
        <f t="shared" si="9"/>
        <v>-8.149072527885437E-10</v>
      </c>
    </row>
    <row r="96" spans="1:9" ht="18" customHeight="1" x14ac:dyDescent="0.25">
      <c r="A96" s="3"/>
      <c r="B96" s="31" t="str">
        <f t="shared" si="5"/>
        <v/>
      </c>
      <c r="C96" s="43" t="str">
        <f>IF(B96="","",IF($D$14=26,IF(B96=1,$I$8,C95+14),IF($D$14=52,IF(B96=1,$I$8,C95+7),IF($D$14=24,IF(B96=1,$I$8,IF($I$8=EOMONTH($I$8,0),IF(ISODD(B96),EOMONTH(EDATE($I$8,(B96-1)/2),0),EDATE(DATE(YEAR($I$8),MONTH($I$8)+1,15),(B96-1)/2)),IF(DAY($I$8)=15,IF(ISODD(B96),EDATE($I$8,(B96-1)/2),EOMONTH(EDATE($I$8,(B96-1)/2),0)),IF(DAY($I$8)&lt;=14,IF(ISODD(B96),EDATE($I$8,(B96-1)/2),EDATE(MIN($I$8+15,EOMONTH($I$8,0)),(B96-1)/2)),EDATE(IF(ISODD(B96),$I$8,$I$8-15),B96/2))))),IF(B96=1,$I$8,EDATE($I$8,$D$15*(B96-1)))))))</f>
        <v/>
      </c>
      <c r="D96" s="32" t="str">
        <f t="shared" si="6"/>
        <v/>
      </c>
      <c r="E96" s="33" t="str">
        <f>IF(B96="","",IF($D$17,IF(OR(B96=$D$16,$I$11&gt;ROUND((1+$I$10)*I95,2)),ROUND((1+$I$10)*I95,2),$I$11),IF(OR(B96=$D$16,$I$11&gt;(1+$I$10)*I95),(I+$I$10)*I95,$I$11)))</f>
        <v/>
      </c>
      <c r="F96" s="39"/>
      <c r="G96" s="33" t="str">
        <f t="shared" si="7"/>
        <v/>
      </c>
      <c r="H96" s="33" t="str">
        <f t="shared" si="8"/>
        <v/>
      </c>
      <c r="I96" s="38" t="str">
        <f t="shared" si="9"/>
        <v/>
      </c>
    </row>
    <row r="97" spans="1:9" ht="18" customHeight="1" x14ac:dyDescent="0.25">
      <c r="A97" s="3"/>
      <c r="B97" s="31" t="str">
        <f t="shared" si="5"/>
        <v/>
      </c>
      <c r="C97" s="43" t="str">
        <f>IF(B97="","",IF($D$14=26,IF(B97=1,$I$8,C96+14),IF($D$14=52,IF(B97=1,$I$8,C96+7),IF($D$14=24,IF(B97=1,$I$8,IF($I$8=EOMONTH($I$8,0),IF(ISODD(B97),EOMONTH(EDATE($I$8,(B97-1)/2),0),EDATE(DATE(YEAR($I$8),MONTH($I$8)+1,15),(B97-1)/2)),IF(DAY($I$8)=15,IF(ISODD(B97),EDATE($I$8,(B97-1)/2),EOMONTH(EDATE($I$8,(B97-1)/2),0)),IF(DAY($I$8)&lt;=14,IF(ISODD(B97),EDATE($I$8,(B97-1)/2),EDATE(MIN($I$8+15,EOMONTH($I$8,0)),(B97-1)/2)),EDATE(IF(ISODD(B97),$I$8,$I$8-15),B97/2))))),IF(B97=1,$I$8,EDATE($I$8,$D$15*(B97-1)))))))</f>
        <v/>
      </c>
      <c r="D97" s="32" t="str">
        <f t="shared" si="6"/>
        <v/>
      </c>
      <c r="E97" s="33" t="str">
        <f>IF(B97="","",IF($D$17,IF(OR(B97=$D$16,$I$11&gt;ROUND((1+$I$10)*I96,2)),ROUND((1+$I$10)*I96,2),$I$11),IF(OR(B97=$D$16,$I$11&gt;(1+$I$10)*I96),(I+$I$10)*I96,$I$11)))</f>
        <v/>
      </c>
      <c r="F97" s="39"/>
      <c r="G97" s="33" t="str">
        <f t="shared" si="7"/>
        <v/>
      </c>
      <c r="H97" s="33" t="str">
        <f t="shared" si="8"/>
        <v/>
      </c>
      <c r="I97" s="38" t="str">
        <f t="shared" si="9"/>
        <v/>
      </c>
    </row>
    <row r="98" spans="1:9" ht="18" customHeight="1" x14ac:dyDescent="0.25">
      <c r="A98" s="3"/>
      <c r="B98" s="31" t="str">
        <f t="shared" si="5"/>
        <v/>
      </c>
      <c r="C98" s="43" t="str">
        <f>IF(B98="","",IF($D$14=26,IF(B98=1,$I$8,C97+14),IF($D$14=52,IF(B98=1,$I$8,C97+7),IF($D$14=24,IF(B98=1,$I$8,IF($I$8=EOMONTH($I$8,0),IF(ISODD(B98),EOMONTH(EDATE($I$8,(B98-1)/2),0),EDATE(DATE(YEAR($I$8),MONTH($I$8)+1,15),(B98-1)/2)),IF(DAY($I$8)=15,IF(ISODD(B98),EDATE($I$8,(B98-1)/2),EOMONTH(EDATE($I$8,(B98-1)/2),0)),IF(DAY($I$8)&lt;=14,IF(ISODD(B98),EDATE($I$8,(B98-1)/2),EDATE(MIN($I$8+15,EOMONTH($I$8,0)),(B98-1)/2)),EDATE(IF(ISODD(B98),$I$8,$I$8-15),B98/2))))),IF(B98=1,$I$8,EDATE($I$8,$D$15*(B98-1)))))))</f>
        <v/>
      </c>
      <c r="D98" s="32" t="str">
        <f t="shared" si="6"/>
        <v/>
      </c>
      <c r="E98" s="33" t="str">
        <f>IF(B98="","",IF($D$17,IF(OR(B98=$D$16,$I$11&gt;ROUND((1+$I$10)*I97,2)),ROUND((1+$I$10)*I97,2),$I$11),IF(OR(B98=$D$16,$I$11&gt;(1+$I$10)*I97),(I+$I$10)*I97,$I$11)))</f>
        <v/>
      </c>
      <c r="F98" s="39"/>
      <c r="G98" s="33" t="str">
        <f t="shared" si="7"/>
        <v/>
      </c>
      <c r="H98" s="33" t="str">
        <f t="shared" si="8"/>
        <v/>
      </c>
      <c r="I98" s="38" t="str">
        <f t="shared" si="9"/>
        <v/>
      </c>
    </row>
    <row r="99" spans="1:9" ht="18" customHeight="1" x14ac:dyDescent="0.25">
      <c r="A99" s="3"/>
      <c r="B99" s="31" t="str">
        <f t="shared" si="5"/>
        <v/>
      </c>
      <c r="C99" s="43" t="str">
        <f>IF(B99="","",IF($D$14=26,IF(B99=1,$I$8,C98+14),IF($D$14=52,IF(B99=1,$I$8,C98+7),IF($D$14=24,IF(B99=1,$I$8,IF($I$8=EOMONTH($I$8,0),IF(ISODD(B99),EOMONTH(EDATE($I$8,(B99-1)/2),0),EDATE(DATE(YEAR($I$8),MONTH($I$8)+1,15),(B99-1)/2)),IF(DAY($I$8)=15,IF(ISODD(B99),EDATE($I$8,(B99-1)/2),EOMONTH(EDATE($I$8,(B99-1)/2),0)),IF(DAY($I$8)&lt;=14,IF(ISODD(B99),EDATE($I$8,(B99-1)/2),EDATE(MIN($I$8+15,EOMONTH($I$8,0)),(B99-1)/2)),EDATE(IF(ISODD(B99),$I$8,$I$8-15),B99/2))))),IF(B99=1,$I$8,EDATE($I$8,$D$15*(B99-1)))))))</f>
        <v/>
      </c>
      <c r="D99" s="32" t="str">
        <f t="shared" si="6"/>
        <v/>
      </c>
      <c r="E99" s="33" t="str">
        <f>IF(B99="","",IF($D$17,IF(OR(B99=$D$16,$I$11&gt;ROUND((1+$I$10)*I98,2)),ROUND((1+$I$10)*I98,2),$I$11),IF(OR(B99=$D$16,$I$11&gt;(1+$I$10)*I98),(I+$I$10)*I98,$I$11)))</f>
        <v/>
      </c>
      <c r="F99" s="39"/>
      <c r="G99" s="33" t="str">
        <f t="shared" si="7"/>
        <v/>
      </c>
      <c r="H99" s="33" t="str">
        <f t="shared" si="8"/>
        <v/>
      </c>
      <c r="I99" s="38" t="str">
        <f t="shared" si="9"/>
        <v/>
      </c>
    </row>
    <row r="100" spans="1:9" ht="18" customHeight="1" x14ac:dyDescent="0.25">
      <c r="A100" s="3"/>
      <c r="B100" s="31" t="str">
        <f t="shared" si="5"/>
        <v/>
      </c>
      <c r="C100" s="43" t="str">
        <f>IF(B100="","",IF($D$14=26,IF(B100=1,$I$8,C99+14),IF($D$14=52,IF(B100=1,$I$8,C99+7),IF($D$14=24,IF(B100=1,$I$8,IF($I$8=EOMONTH($I$8,0),IF(ISODD(B100),EOMONTH(EDATE($I$8,(B100-1)/2),0),EDATE(DATE(YEAR($I$8),MONTH($I$8)+1,15),(B100-1)/2)),IF(DAY($I$8)=15,IF(ISODD(B100),EDATE($I$8,(B100-1)/2),EOMONTH(EDATE($I$8,(B100-1)/2),0)),IF(DAY($I$8)&lt;=14,IF(ISODD(B100),EDATE($I$8,(B100-1)/2),EDATE(MIN($I$8+15,EOMONTH($I$8,0)),(B100-1)/2)),EDATE(IF(ISODD(B100),$I$8,$I$8-15),B100/2))))),IF(B100=1,$I$8,EDATE($I$8,$D$15*(B100-1)))))))</f>
        <v/>
      </c>
      <c r="D100" s="32" t="str">
        <f t="shared" si="6"/>
        <v/>
      </c>
      <c r="E100" s="33" t="str">
        <f>IF(B100="","",IF($D$17,IF(OR(B100=$D$16,$I$11&gt;ROUND((1+$I$10)*I99,2)),ROUND((1+$I$10)*I99,2),$I$11),IF(OR(B100=$D$16,$I$11&gt;(1+$I$10)*I99),(I+$I$10)*I99,$I$11)))</f>
        <v/>
      </c>
      <c r="F100" s="39"/>
      <c r="G100" s="33" t="str">
        <f t="shared" si="7"/>
        <v/>
      </c>
      <c r="H100" s="33" t="str">
        <f t="shared" si="8"/>
        <v/>
      </c>
      <c r="I100" s="38" t="str">
        <f t="shared" si="9"/>
        <v/>
      </c>
    </row>
    <row r="101" spans="1:9" ht="18" customHeight="1" x14ac:dyDescent="0.25">
      <c r="A101" s="3"/>
      <c r="B101" s="31" t="str">
        <f t="shared" si="5"/>
        <v/>
      </c>
      <c r="C101" s="43" t="str">
        <f>IF(B101="","",IF($D$14=26,IF(B101=1,$I$8,C100+14),IF($D$14=52,IF(B101=1,$I$8,C100+7),IF($D$14=24,IF(B101=1,$I$8,IF($I$8=EOMONTH($I$8,0),IF(ISODD(B101),EOMONTH(EDATE($I$8,(B101-1)/2),0),EDATE(DATE(YEAR($I$8),MONTH($I$8)+1,15),(B101-1)/2)),IF(DAY($I$8)=15,IF(ISODD(B101),EDATE($I$8,(B101-1)/2),EOMONTH(EDATE($I$8,(B101-1)/2),0)),IF(DAY($I$8)&lt;=14,IF(ISODD(B101),EDATE($I$8,(B101-1)/2),EDATE(MIN($I$8+15,EOMONTH($I$8,0)),(B101-1)/2)),EDATE(IF(ISODD(B101),$I$8,$I$8-15),B101/2))))),IF(B101=1,$I$8,EDATE($I$8,$D$15*(B101-1)))))))</f>
        <v/>
      </c>
      <c r="D101" s="32" t="str">
        <f t="shared" si="6"/>
        <v/>
      </c>
      <c r="E101" s="33" t="str">
        <f>IF(B101="","",IF($D$17,IF(OR(B101=$D$16,$I$11&gt;ROUND((1+$I$10)*I100,2)),ROUND((1+$I$10)*I100,2),$I$11),IF(OR(B101=$D$16,$I$11&gt;(1+$I$10)*I100),(I+$I$10)*I100,$I$11)))</f>
        <v/>
      </c>
      <c r="F101" s="39"/>
      <c r="G101" s="33" t="str">
        <f t="shared" si="7"/>
        <v/>
      </c>
      <c r="H101" s="33" t="str">
        <f t="shared" si="8"/>
        <v/>
      </c>
      <c r="I101" s="38" t="str">
        <f t="shared" si="9"/>
        <v/>
      </c>
    </row>
    <row r="102" spans="1:9" ht="18" customHeight="1" x14ac:dyDescent="0.25">
      <c r="A102" s="3"/>
      <c r="B102" s="31" t="str">
        <f t="shared" si="5"/>
        <v/>
      </c>
      <c r="C102" s="43" t="str">
        <f>IF(B102="","",IF($D$14=26,IF(B102=1,$I$8,C101+14),IF($D$14=52,IF(B102=1,$I$8,C101+7),IF($D$14=24,IF(B102=1,$I$8,IF($I$8=EOMONTH($I$8,0),IF(ISODD(B102),EOMONTH(EDATE($I$8,(B102-1)/2),0),EDATE(DATE(YEAR($I$8),MONTH($I$8)+1,15),(B102-1)/2)),IF(DAY($I$8)=15,IF(ISODD(B102),EDATE($I$8,(B102-1)/2),EOMONTH(EDATE($I$8,(B102-1)/2),0)),IF(DAY($I$8)&lt;=14,IF(ISODD(B102),EDATE($I$8,(B102-1)/2),EDATE(MIN($I$8+15,EOMONTH($I$8,0)),(B102-1)/2)),EDATE(IF(ISODD(B102),$I$8,$I$8-15),B102/2))))),IF(B102=1,$I$8,EDATE($I$8,$D$15*(B102-1)))))))</f>
        <v/>
      </c>
      <c r="D102" s="32" t="str">
        <f t="shared" si="6"/>
        <v/>
      </c>
      <c r="E102" s="33" t="str">
        <f>IF(B102="","",IF($D$17,IF(OR(B102=$D$16,$I$11&gt;ROUND((1+$I$10)*I101,2)),ROUND((1+$I$10)*I101,2),$I$11),IF(OR(B102=$D$16,$I$11&gt;(1+$I$10)*I101),(I+$I$10)*I101,$I$11)))</f>
        <v/>
      </c>
      <c r="F102" s="39"/>
      <c r="G102" s="33" t="str">
        <f t="shared" si="7"/>
        <v/>
      </c>
      <c r="H102" s="33" t="str">
        <f t="shared" si="8"/>
        <v/>
      </c>
      <c r="I102" s="38" t="str">
        <f t="shared" si="9"/>
        <v/>
      </c>
    </row>
    <row r="103" spans="1:9" ht="18" customHeight="1" x14ac:dyDescent="0.25">
      <c r="A103" s="3"/>
      <c r="B103" s="31" t="str">
        <f t="shared" si="5"/>
        <v/>
      </c>
      <c r="C103" s="43" t="str">
        <f>IF(B103="","",IF($D$14=26,IF(B103=1,$I$8,C102+14),IF($D$14=52,IF(B103=1,$I$8,C102+7),IF($D$14=24,IF(B103=1,$I$8,IF($I$8=EOMONTH($I$8,0),IF(ISODD(B103),EOMONTH(EDATE($I$8,(B103-1)/2),0),EDATE(DATE(YEAR($I$8),MONTH($I$8)+1,15),(B103-1)/2)),IF(DAY($I$8)=15,IF(ISODD(B103),EDATE($I$8,(B103-1)/2),EOMONTH(EDATE($I$8,(B103-1)/2),0)),IF(DAY($I$8)&lt;=14,IF(ISODD(B103),EDATE($I$8,(B103-1)/2),EDATE(MIN($I$8+15,EOMONTH($I$8,0)),(B103-1)/2)),EDATE(IF(ISODD(B103),$I$8,$I$8-15),B103/2))))),IF(B103=1,$I$8,EDATE($I$8,$D$15*(B103-1)))))))</f>
        <v/>
      </c>
      <c r="D103" s="32" t="str">
        <f t="shared" si="6"/>
        <v/>
      </c>
      <c r="E103" s="33" t="str">
        <f>IF(B103="","",IF($D$17,IF(OR(B103=$D$16,$I$11&gt;ROUND((1+$I$10)*I102,2)),ROUND((1+$I$10)*I102,2),$I$11),IF(OR(B103=$D$16,$I$11&gt;(1+$I$10)*I102),(I+$I$10)*I102,$I$11)))</f>
        <v/>
      </c>
      <c r="F103" s="39"/>
      <c r="G103" s="33" t="str">
        <f t="shared" si="7"/>
        <v/>
      </c>
      <c r="H103" s="33" t="str">
        <f t="shared" si="8"/>
        <v/>
      </c>
      <c r="I103" s="38" t="str">
        <f t="shared" si="9"/>
        <v/>
      </c>
    </row>
    <row r="104" spans="1:9" ht="18" customHeight="1" x14ac:dyDescent="0.25">
      <c r="A104" s="3"/>
      <c r="B104" s="31" t="str">
        <f t="shared" si="5"/>
        <v/>
      </c>
      <c r="C104" s="43" t="str">
        <f>IF(B104="","",IF($D$14=26,IF(B104=1,$I$8,C103+14),IF($D$14=52,IF(B104=1,$I$8,C103+7),IF($D$14=24,IF(B104=1,$I$8,IF($I$8=EOMONTH($I$8,0),IF(ISODD(B104),EOMONTH(EDATE($I$8,(B104-1)/2),0),EDATE(DATE(YEAR($I$8),MONTH($I$8)+1,15),(B104-1)/2)),IF(DAY($I$8)=15,IF(ISODD(B104),EDATE($I$8,(B104-1)/2),EOMONTH(EDATE($I$8,(B104-1)/2),0)),IF(DAY($I$8)&lt;=14,IF(ISODD(B104),EDATE($I$8,(B104-1)/2),EDATE(MIN($I$8+15,EOMONTH($I$8,0)),(B104-1)/2)),EDATE(IF(ISODD(B104),$I$8,$I$8-15),B104/2))))),IF(B104=1,$I$8,EDATE($I$8,$D$15*(B104-1)))))))</f>
        <v/>
      </c>
      <c r="D104" s="32" t="str">
        <f t="shared" si="6"/>
        <v/>
      </c>
      <c r="E104" s="33" t="str">
        <f>IF(B104="","",IF($D$17,IF(OR(B104=$D$16,$I$11&gt;ROUND((1+$I$10)*I103,2)),ROUND((1+$I$10)*I103,2),$I$11),IF(OR(B104=$D$16,$I$11&gt;(1+$I$10)*I103),(I+$I$10)*I103,$I$11)))</f>
        <v/>
      </c>
      <c r="F104" s="39"/>
      <c r="G104" s="33" t="str">
        <f t="shared" si="7"/>
        <v/>
      </c>
      <c r="H104" s="33" t="str">
        <f t="shared" si="8"/>
        <v/>
      </c>
      <c r="I104" s="38" t="str">
        <f t="shared" si="9"/>
        <v/>
      </c>
    </row>
    <row r="105" spans="1:9" ht="18" customHeight="1" x14ac:dyDescent="0.25">
      <c r="A105" s="3"/>
      <c r="B105" s="31" t="str">
        <f t="shared" si="5"/>
        <v/>
      </c>
      <c r="C105" s="43" t="str">
        <f>IF(B105="","",IF($D$14=26,IF(B105=1,$I$8,C104+14),IF($D$14=52,IF(B105=1,$I$8,C104+7),IF($D$14=24,IF(B105=1,$I$8,IF($I$8=EOMONTH($I$8,0),IF(ISODD(B105),EOMONTH(EDATE($I$8,(B105-1)/2),0),EDATE(DATE(YEAR($I$8),MONTH($I$8)+1,15),(B105-1)/2)),IF(DAY($I$8)=15,IF(ISODD(B105),EDATE($I$8,(B105-1)/2),EOMONTH(EDATE($I$8,(B105-1)/2),0)),IF(DAY($I$8)&lt;=14,IF(ISODD(B105),EDATE($I$8,(B105-1)/2),EDATE(MIN($I$8+15,EOMONTH($I$8,0)),(B105-1)/2)),EDATE(IF(ISODD(B105),$I$8,$I$8-15),B105/2))))),IF(B105=1,$I$8,EDATE($I$8,$D$15*(B105-1)))))))</f>
        <v/>
      </c>
      <c r="D105" s="32" t="str">
        <f t="shared" si="6"/>
        <v/>
      </c>
      <c r="E105" s="33" t="str">
        <f>IF(B105="","",IF($D$17,IF(OR(B105=$D$16,$I$11&gt;ROUND((1+$I$10)*I104,2)),ROUND((1+$I$10)*I104,2),$I$11),IF(OR(B105=$D$16,$I$11&gt;(1+$I$10)*I104),(I+$I$10)*I104,$I$11)))</f>
        <v/>
      </c>
      <c r="F105" s="39"/>
      <c r="G105" s="33" t="str">
        <f t="shared" si="7"/>
        <v/>
      </c>
      <c r="H105" s="33" t="str">
        <f t="shared" si="8"/>
        <v/>
      </c>
      <c r="I105" s="38" t="str">
        <f t="shared" si="9"/>
        <v/>
      </c>
    </row>
    <row r="106" spans="1:9" ht="18" customHeight="1" x14ac:dyDescent="0.25">
      <c r="A106" s="3"/>
      <c r="B106" s="31" t="str">
        <f t="shared" si="5"/>
        <v/>
      </c>
      <c r="C106" s="43" t="str">
        <f>IF(B106="","",IF($D$14=26,IF(B106=1,$I$8,C105+14),IF($D$14=52,IF(B106=1,$I$8,C105+7),IF($D$14=24,IF(B106=1,$I$8,IF($I$8=EOMONTH($I$8,0),IF(ISODD(B106),EOMONTH(EDATE($I$8,(B106-1)/2),0),EDATE(DATE(YEAR($I$8),MONTH($I$8)+1,15),(B106-1)/2)),IF(DAY($I$8)=15,IF(ISODD(B106),EDATE($I$8,(B106-1)/2),EOMONTH(EDATE($I$8,(B106-1)/2),0)),IF(DAY($I$8)&lt;=14,IF(ISODD(B106),EDATE($I$8,(B106-1)/2),EDATE(MIN($I$8+15,EOMONTH($I$8,0)),(B106-1)/2)),EDATE(IF(ISODD(B106),$I$8,$I$8-15),B106/2))))),IF(B106=1,$I$8,EDATE($I$8,$D$15*(B106-1)))))))</f>
        <v/>
      </c>
      <c r="D106" s="32" t="str">
        <f t="shared" si="6"/>
        <v/>
      </c>
      <c r="E106" s="33" t="str">
        <f>IF(B106="","",IF($D$17,IF(OR(B106=$D$16,$I$11&gt;ROUND((1+$I$10)*I105,2)),ROUND((1+$I$10)*I105,2),$I$11),IF(OR(B106=$D$16,$I$11&gt;(1+$I$10)*I105),(I+$I$10)*I105,$I$11)))</f>
        <v/>
      </c>
      <c r="F106" s="39"/>
      <c r="G106" s="33" t="str">
        <f t="shared" si="7"/>
        <v/>
      </c>
      <c r="H106" s="33" t="str">
        <f t="shared" si="8"/>
        <v/>
      </c>
      <c r="I106" s="38" t="str">
        <f t="shared" si="9"/>
        <v/>
      </c>
    </row>
    <row r="107" spans="1:9" ht="18" customHeight="1" x14ac:dyDescent="0.25">
      <c r="A107" s="3"/>
      <c r="B107" s="31" t="str">
        <f t="shared" si="5"/>
        <v/>
      </c>
      <c r="C107" s="43" t="str">
        <f>IF(B107="","",IF($D$14=26,IF(B107=1,$I$8,C106+14),IF($D$14=52,IF(B107=1,$I$8,C106+7),IF($D$14=24,IF(B107=1,$I$8,IF($I$8=EOMONTH($I$8,0),IF(ISODD(B107),EOMONTH(EDATE($I$8,(B107-1)/2),0),EDATE(DATE(YEAR($I$8),MONTH($I$8)+1,15),(B107-1)/2)),IF(DAY($I$8)=15,IF(ISODD(B107),EDATE($I$8,(B107-1)/2),EOMONTH(EDATE($I$8,(B107-1)/2),0)),IF(DAY($I$8)&lt;=14,IF(ISODD(B107),EDATE($I$8,(B107-1)/2),EDATE(MIN($I$8+15,EOMONTH($I$8,0)),(B107-1)/2)),EDATE(IF(ISODD(B107),$I$8,$I$8-15),B107/2))))),IF(B107=1,$I$8,EDATE($I$8,$D$15*(B107-1)))))))</f>
        <v/>
      </c>
      <c r="D107" s="32" t="str">
        <f t="shared" si="6"/>
        <v/>
      </c>
      <c r="E107" s="33" t="str">
        <f>IF(B107="","",IF($D$17,IF(OR(B107=$D$16,$I$11&gt;ROUND((1+$I$10)*I106,2)),ROUND((1+$I$10)*I106,2),$I$11),IF(OR(B107=$D$16,$I$11&gt;(1+$I$10)*I106),(I+$I$10)*I106,$I$11)))</f>
        <v/>
      </c>
      <c r="F107" s="39"/>
      <c r="G107" s="33" t="str">
        <f t="shared" si="7"/>
        <v/>
      </c>
      <c r="H107" s="33" t="str">
        <f t="shared" si="8"/>
        <v/>
      </c>
      <c r="I107" s="38" t="str">
        <f t="shared" si="9"/>
        <v/>
      </c>
    </row>
    <row r="108" spans="1:9" ht="18" customHeight="1" x14ac:dyDescent="0.25">
      <c r="A108" s="3"/>
      <c r="B108" s="31" t="str">
        <f t="shared" si="5"/>
        <v/>
      </c>
      <c r="C108" s="43" t="str">
        <f>IF(B108="","",IF($D$14=26,IF(B108=1,$I$8,C107+14),IF($D$14=52,IF(B108=1,$I$8,C107+7),IF($D$14=24,IF(B108=1,$I$8,IF($I$8=EOMONTH($I$8,0),IF(ISODD(B108),EOMONTH(EDATE($I$8,(B108-1)/2),0),EDATE(DATE(YEAR($I$8),MONTH($I$8)+1,15),(B108-1)/2)),IF(DAY($I$8)=15,IF(ISODD(B108),EDATE($I$8,(B108-1)/2),EOMONTH(EDATE($I$8,(B108-1)/2),0)),IF(DAY($I$8)&lt;=14,IF(ISODD(B108),EDATE($I$8,(B108-1)/2),EDATE(MIN($I$8+15,EOMONTH($I$8,0)),(B108-1)/2)),EDATE(IF(ISODD(B108),$I$8,$I$8-15),B108/2))))),IF(B108=1,$I$8,EDATE($I$8,$D$15*(B108-1)))))))</f>
        <v/>
      </c>
      <c r="D108" s="32" t="str">
        <f t="shared" si="6"/>
        <v/>
      </c>
      <c r="E108" s="33" t="str">
        <f>IF(B108="","",IF($D$17,IF(OR(B108=$D$16,$I$11&gt;ROUND((1+$I$10)*I107,2)),ROUND((1+$I$10)*I107,2),$I$11),IF(OR(B108=$D$16,$I$11&gt;(1+$I$10)*I107),(I+$I$10)*I107,$I$11)))</f>
        <v/>
      </c>
      <c r="F108" s="39"/>
      <c r="G108" s="33" t="str">
        <f t="shared" si="7"/>
        <v/>
      </c>
      <c r="H108" s="33" t="str">
        <f t="shared" si="8"/>
        <v/>
      </c>
      <c r="I108" s="38" t="str">
        <f t="shared" si="9"/>
        <v/>
      </c>
    </row>
    <row r="109" spans="1:9" ht="18" customHeight="1" x14ac:dyDescent="0.25">
      <c r="A109" s="3"/>
      <c r="B109" s="31" t="str">
        <f t="shared" si="5"/>
        <v/>
      </c>
      <c r="C109" s="43" t="str">
        <f>IF(B109="","",IF($D$14=26,IF(B109=1,$I$8,C108+14),IF($D$14=52,IF(B109=1,$I$8,C108+7),IF($D$14=24,IF(B109=1,$I$8,IF($I$8=EOMONTH($I$8,0),IF(ISODD(B109),EOMONTH(EDATE($I$8,(B109-1)/2),0),EDATE(DATE(YEAR($I$8),MONTH($I$8)+1,15),(B109-1)/2)),IF(DAY($I$8)=15,IF(ISODD(B109),EDATE($I$8,(B109-1)/2),EOMONTH(EDATE($I$8,(B109-1)/2),0)),IF(DAY($I$8)&lt;=14,IF(ISODD(B109),EDATE($I$8,(B109-1)/2),EDATE(MIN($I$8+15,EOMONTH($I$8,0)),(B109-1)/2)),EDATE(IF(ISODD(B109),$I$8,$I$8-15),B109/2))))),IF(B109=1,$I$8,EDATE($I$8,$D$15*(B109-1)))))))</f>
        <v/>
      </c>
      <c r="D109" s="32" t="str">
        <f t="shared" si="6"/>
        <v/>
      </c>
      <c r="E109" s="33" t="str">
        <f>IF(B109="","",IF($D$17,IF(OR(B109=$D$16,$I$11&gt;ROUND((1+$I$10)*I108,2)),ROUND((1+$I$10)*I108,2),$I$11),IF(OR(B109=$D$16,$I$11&gt;(1+$I$10)*I108),(I+$I$10)*I108,$I$11)))</f>
        <v/>
      </c>
      <c r="F109" s="39"/>
      <c r="G109" s="33" t="str">
        <f t="shared" si="7"/>
        <v/>
      </c>
      <c r="H109" s="33" t="str">
        <f t="shared" si="8"/>
        <v/>
      </c>
      <c r="I109" s="38" t="str">
        <f t="shared" si="9"/>
        <v/>
      </c>
    </row>
    <row r="110" spans="1:9" ht="18" customHeight="1" x14ac:dyDescent="0.25">
      <c r="A110" s="3"/>
      <c r="B110" s="31" t="str">
        <f t="shared" si="5"/>
        <v/>
      </c>
      <c r="C110" s="43" t="str">
        <f>IF(B110="","",IF($D$14=26,IF(B110=1,$I$8,C109+14),IF($D$14=52,IF(B110=1,$I$8,C109+7),IF($D$14=24,IF(B110=1,$I$8,IF($I$8=EOMONTH($I$8,0),IF(ISODD(B110),EOMONTH(EDATE($I$8,(B110-1)/2),0),EDATE(DATE(YEAR($I$8),MONTH($I$8)+1,15),(B110-1)/2)),IF(DAY($I$8)=15,IF(ISODD(B110),EDATE($I$8,(B110-1)/2),EOMONTH(EDATE($I$8,(B110-1)/2),0)),IF(DAY($I$8)&lt;=14,IF(ISODD(B110),EDATE($I$8,(B110-1)/2),EDATE(MIN($I$8+15,EOMONTH($I$8,0)),(B110-1)/2)),EDATE(IF(ISODD(B110),$I$8,$I$8-15),B110/2))))),IF(B110=1,$I$8,EDATE($I$8,$D$15*(B110-1)))))))</f>
        <v/>
      </c>
      <c r="D110" s="32" t="str">
        <f t="shared" si="6"/>
        <v/>
      </c>
      <c r="E110" s="33" t="str">
        <f>IF(B110="","",IF($D$17,IF(OR(B110=$D$16,$I$11&gt;ROUND((1+$I$10)*I109,2)),ROUND((1+$I$10)*I109,2),$I$11),IF(OR(B110=$D$16,$I$11&gt;(1+$I$10)*I109),(I+$I$10)*I109,$I$11)))</f>
        <v/>
      </c>
      <c r="F110" s="39"/>
      <c r="G110" s="33" t="str">
        <f t="shared" si="7"/>
        <v/>
      </c>
      <c r="H110" s="33" t="str">
        <f t="shared" si="8"/>
        <v/>
      </c>
      <c r="I110" s="38" t="str">
        <f t="shared" si="9"/>
        <v/>
      </c>
    </row>
    <row r="111" spans="1:9" ht="18" customHeight="1" x14ac:dyDescent="0.25">
      <c r="A111" s="3"/>
      <c r="B111" s="31" t="str">
        <f t="shared" si="5"/>
        <v/>
      </c>
      <c r="C111" s="43" t="str">
        <f>IF(B111="","",IF($D$14=26,IF(B111=1,$I$8,C110+14),IF($D$14=52,IF(B111=1,$I$8,C110+7),IF($D$14=24,IF(B111=1,$I$8,IF($I$8=EOMONTH($I$8,0),IF(ISODD(B111),EOMONTH(EDATE($I$8,(B111-1)/2),0),EDATE(DATE(YEAR($I$8),MONTH($I$8)+1,15),(B111-1)/2)),IF(DAY($I$8)=15,IF(ISODD(B111),EDATE($I$8,(B111-1)/2),EOMONTH(EDATE($I$8,(B111-1)/2),0)),IF(DAY($I$8)&lt;=14,IF(ISODD(B111),EDATE($I$8,(B111-1)/2),EDATE(MIN($I$8+15,EOMONTH($I$8,0)),(B111-1)/2)),EDATE(IF(ISODD(B111),$I$8,$I$8-15),B111/2))))),IF(B111=1,$I$8,EDATE($I$8,$D$15*(B111-1)))))))</f>
        <v/>
      </c>
      <c r="D111" s="32" t="str">
        <f t="shared" si="6"/>
        <v/>
      </c>
      <c r="E111" s="33" t="str">
        <f>IF(B111="","",IF($D$17,IF(OR(B111=$D$16,$I$11&gt;ROUND((1+$I$10)*I110,2)),ROUND((1+$I$10)*I110,2),$I$11),IF(OR(B111=$D$16,$I$11&gt;(1+$I$10)*I110),(I+$I$10)*I110,$I$11)))</f>
        <v/>
      </c>
      <c r="F111" s="39"/>
      <c r="G111" s="33" t="str">
        <f t="shared" si="7"/>
        <v/>
      </c>
      <c r="H111" s="33" t="str">
        <f t="shared" si="8"/>
        <v/>
      </c>
      <c r="I111" s="38" t="str">
        <f t="shared" si="9"/>
        <v/>
      </c>
    </row>
    <row r="112" spans="1:9" ht="18" customHeight="1" x14ac:dyDescent="0.25">
      <c r="A112" s="3"/>
      <c r="B112" s="31" t="str">
        <f t="shared" si="5"/>
        <v/>
      </c>
      <c r="C112" s="43" t="str">
        <f>IF(B112="","",IF($D$14=26,IF(B112=1,$I$8,C111+14),IF($D$14=52,IF(B112=1,$I$8,C111+7),IF($D$14=24,IF(B112=1,$I$8,IF($I$8=EOMONTH($I$8,0),IF(ISODD(B112),EOMONTH(EDATE($I$8,(B112-1)/2),0),EDATE(DATE(YEAR($I$8),MONTH($I$8)+1,15),(B112-1)/2)),IF(DAY($I$8)=15,IF(ISODD(B112),EDATE($I$8,(B112-1)/2),EOMONTH(EDATE($I$8,(B112-1)/2),0)),IF(DAY($I$8)&lt;=14,IF(ISODD(B112),EDATE($I$8,(B112-1)/2),EDATE(MIN($I$8+15,EOMONTH($I$8,0)),(B112-1)/2)),EDATE(IF(ISODD(B112),$I$8,$I$8-15),B112/2))))),IF(B112=1,$I$8,EDATE($I$8,$D$15*(B112-1)))))))</f>
        <v/>
      </c>
      <c r="D112" s="32" t="str">
        <f t="shared" si="6"/>
        <v/>
      </c>
      <c r="E112" s="33" t="str">
        <f>IF(B112="","",IF($D$17,IF(OR(B112=$D$16,$I$11&gt;ROUND((1+$I$10)*I111,2)),ROUND((1+$I$10)*I111,2),$I$11),IF(OR(B112=$D$16,$I$11&gt;(1+$I$10)*I111),(I+$I$10)*I111,$I$11)))</f>
        <v/>
      </c>
      <c r="F112" s="39"/>
      <c r="G112" s="33" t="str">
        <f t="shared" si="7"/>
        <v/>
      </c>
      <c r="H112" s="33" t="str">
        <f t="shared" si="8"/>
        <v/>
      </c>
      <c r="I112" s="38" t="str">
        <f t="shared" si="9"/>
        <v/>
      </c>
    </row>
    <row r="113" spans="2:9" ht="14.45" customHeight="1" x14ac:dyDescent="0.25">
      <c r="B113" s="31" t="str">
        <f t="shared" si="5"/>
        <v/>
      </c>
      <c r="C113" s="43" t="str">
        <f>IF(B113="","",IF($D$14=26,IF(B113=1,$I$8,C112+14),IF($D$14=52,IF(B113=1,$I$8,C112+7),IF($D$14=24,IF(B113=1,$I$8,IF($I$8=EOMONTH($I$8,0),IF(ISODD(B113),EOMONTH(EDATE($I$8,(B113-1)/2),0),EDATE(DATE(YEAR($I$8),MONTH($I$8)+1,15),(B113-1)/2)),IF(DAY($I$8)=15,IF(ISODD(B113),EDATE($I$8,(B113-1)/2),EOMONTH(EDATE($I$8,(B113-1)/2),0)),IF(DAY($I$8)&lt;=14,IF(ISODD(B113),EDATE($I$8,(B113-1)/2),EDATE(MIN($I$8+15,EOMONTH($I$8,0)),(B113-1)/2)),EDATE(IF(ISODD(B113),$I$8,$I$8-15),B113/2))))),IF(B113=1,$I$8,EDATE($I$8,$D$15*(B113-1)))))))</f>
        <v/>
      </c>
      <c r="D113" s="32" t="str">
        <f t="shared" si="6"/>
        <v/>
      </c>
      <c r="E113" s="33" t="str">
        <f>IF(B113="","",IF($D$17,IF(OR(B113=$D$16,$I$11&gt;ROUND((1+$I$10)*I112,2)),ROUND((1+$I$10)*I112,2),$I$11),IF(OR(B113=$D$16,$I$11&gt;(1+$I$10)*I112),(I+$I$10)*I112,$I$11)))</f>
        <v/>
      </c>
      <c r="F113" s="39"/>
      <c r="G113" s="33" t="str">
        <f t="shared" si="7"/>
        <v/>
      </c>
      <c r="H113" s="33" t="str">
        <f t="shared" si="8"/>
        <v/>
      </c>
      <c r="I113" s="38" t="str">
        <f t="shared" si="9"/>
        <v/>
      </c>
    </row>
    <row r="114" spans="2:9" ht="14.45" customHeight="1" x14ac:dyDescent="0.25">
      <c r="B114" s="31" t="str">
        <f t="shared" si="5"/>
        <v/>
      </c>
      <c r="C114" s="43" t="str">
        <f>IF(B114="","",IF($D$14=26,IF(B114=1,$I$8,C113+14),IF($D$14=52,IF(B114=1,$I$8,C113+7),IF($D$14=24,IF(B114=1,$I$8,IF($I$8=EOMONTH($I$8,0),IF(ISODD(B114),EOMONTH(EDATE($I$8,(B114-1)/2),0),EDATE(DATE(YEAR($I$8),MONTH($I$8)+1,15),(B114-1)/2)),IF(DAY($I$8)=15,IF(ISODD(B114),EDATE($I$8,(B114-1)/2),EOMONTH(EDATE($I$8,(B114-1)/2),0)),IF(DAY($I$8)&lt;=14,IF(ISODD(B114),EDATE($I$8,(B114-1)/2),EDATE(MIN($I$8+15,EOMONTH($I$8,0)),(B114-1)/2)),EDATE(IF(ISODD(B114),$I$8,$I$8-15),B114/2))))),IF(B114=1,$I$8,EDATE($I$8,$D$15*(B114-1)))))))</f>
        <v/>
      </c>
      <c r="D114" s="32" t="str">
        <f t="shared" si="6"/>
        <v/>
      </c>
      <c r="E114" s="33" t="str">
        <f>IF(B114="","",IF($D$17,IF(OR(B114=$D$16,$I$11&gt;ROUND((1+$I$10)*I113,2)),ROUND((1+$I$10)*I113,2),$I$11),IF(OR(B114=$D$16,$I$11&gt;(1+$I$10)*I113),(I+$I$10)*I113,$I$11)))</f>
        <v/>
      </c>
      <c r="F114" s="39"/>
      <c r="G114" s="33" t="str">
        <f t="shared" si="7"/>
        <v/>
      </c>
      <c r="H114" s="33" t="str">
        <f t="shared" si="8"/>
        <v/>
      </c>
      <c r="I114" s="38" t="str">
        <f t="shared" si="9"/>
        <v/>
      </c>
    </row>
    <row r="115" spans="2:9" ht="14.45" customHeight="1" x14ac:dyDescent="0.25">
      <c r="B115" s="31" t="str">
        <f t="shared" si="5"/>
        <v/>
      </c>
      <c r="C115" s="43" t="str">
        <f>IF(B115="","",IF($D$14=26,IF(B115=1,$I$8,C114+14),IF($D$14=52,IF(B115=1,$I$8,C114+7),IF($D$14=24,IF(B115=1,$I$8,IF($I$8=EOMONTH($I$8,0),IF(ISODD(B115),EOMONTH(EDATE($I$8,(B115-1)/2),0),EDATE(DATE(YEAR($I$8),MONTH($I$8)+1,15),(B115-1)/2)),IF(DAY($I$8)=15,IF(ISODD(B115),EDATE($I$8,(B115-1)/2),EOMONTH(EDATE($I$8,(B115-1)/2),0)),IF(DAY($I$8)&lt;=14,IF(ISODD(B115),EDATE($I$8,(B115-1)/2),EDATE(MIN($I$8+15,EOMONTH($I$8,0)),(B115-1)/2)),EDATE(IF(ISODD(B115),$I$8,$I$8-15),B115/2))))),IF(B115=1,$I$8,EDATE($I$8,$D$15*(B115-1)))))))</f>
        <v/>
      </c>
      <c r="D115" s="32" t="str">
        <f t="shared" si="6"/>
        <v/>
      </c>
      <c r="E115" s="33" t="str">
        <f>IF(B115="","",IF($D$17,IF(OR(B115=$D$16,$I$11&gt;ROUND((1+$I$10)*I114,2)),ROUND((1+$I$10)*I114,2),$I$11),IF(OR(B115=$D$16,$I$11&gt;(1+$I$10)*I114),(I+$I$10)*I114,$I$11)))</f>
        <v/>
      </c>
      <c r="F115" s="39"/>
      <c r="G115" s="33" t="str">
        <f t="shared" si="7"/>
        <v/>
      </c>
      <c r="H115" s="33" t="str">
        <f t="shared" si="8"/>
        <v/>
      </c>
      <c r="I115" s="38" t="str">
        <f t="shared" si="9"/>
        <v/>
      </c>
    </row>
    <row r="116" spans="2:9" ht="14.45" customHeight="1" x14ac:dyDescent="0.25">
      <c r="B116" s="31" t="str">
        <f t="shared" ref="B116" si="10">IF(I115="","",IF($D$17,IF(OR(B115&gt;=$D$16,ROUND(I115,2)&lt;=0),"",B115+1),IF(OR(B115&gt;=$D$16,I115&lt;=0),"",B115+1)))</f>
        <v/>
      </c>
      <c r="C116" s="43" t="str">
        <f>IF(B116="","",IF($D$14=26,IF(B116=1,$I$8,C115+14),IF($D$14=52,IF(B116=1,$I$8,C115+7),IF($D$14=24,IF(B116=1,$I$8,IF($I$8=EOMONTH($I$8,0),IF(ISODD(B116),EOMONTH(EDATE($I$8,(B116-1)/2),0),EDATE(DATE(YEAR($I$8),MONTH($I$8)+1,15),(B116-1)/2)),IF(DAY($I$8)=15,IF(ISODD(B116),EDATE($I$8,(B116-1)/2),EOMONTH(EDATE($I$8,(B116-1)/2),0)),IF(DAY($I$8)&lt;=14,IF(ISODD(B116),EDATE($I$8,(B116-1)/2),EDATE(MIN($I$8+15,EOMONTH($I$8,0)),(B116-1)/2)),EDATE(IF(ISODD(B116),$I$8,$I$8-15),B116/2))))),IF(B116=1,$I$8,EDATE($I$8,$D$15*(B116-1)))))))</f>
        <v/>
      </c>
      <c r="D116" s="32" t="str">
        <f t="shared" ref="D116" si="11">IF(ISERROR(IF((ROUND(I115,1)&gt;0),I115,"")),"",(IF((ROUND(I115,1)&gt;0),I115,"")))</f>
        <v/>
      </c>
      <c r="E116" s="33" t="str">
        <f>IF(B116="","",IF($D$17,IF(OR(B116=$D$16,$I$11&gt;ROUND((1+$I$10)*I115,2)),ROUND((1+$I$10)*I115,2),$I$11),IF(OR(B116=$D$16,$I$11&gt;(1+$I$10)*I115),(I+$I$10)*I115,$I$11)))</f>
        <v/>
      </c>
      <c r="F116" s="39"/>
      <c r="G116" s="33" t="str">
        <f t="shared" ref="G116" si="12">IF(B116="","",(IF($D$17,ROUND($I$10*I115,2),$I$10*I115)))</f>
        <v/>
      </c>
      <c r="H116" s="33" t="str">
        <f t="shared" ref="H116" si="13">IF(B116="","",E116-G116+F116)</f>
        <v/>
      </c>
      <c r="I116" s="38" t="str">
        <f t="shared" ref="I116" si="14">IF(B116="","",I115-H116)</f>
        <v/>
      </c>
    </row>
    <row r="117" spans="2:9" ht="14.45" customHeight="1" x14ac:dyDescent="0.25">
      <c r="B117" s="31"/>
      <c r="C117" s="43"/>
      <c r="D117" s="32"/>
      <c r="E117" s="33"/>
      <c r="F117" s="39"/>
      <c r="G117" s="33"/>
      <c r="H117" s="33"/>
      <c r="I117" s="38"/>
    </row>
    <row r="118" spans="2:9" ht="14.45" customHeight="1" x14ac:dyDescent="0.25">
      <c r="B118" s="31"/>
      <c r="C118" s="43"/>
      <c r="D118" s="32"/>
      <c r="E118" s="33"/>
      <c r="F118" s="39"/>
      <c r="G118" s="33"/>
      <c r="H118" s="33"/>
      <c r="I118" s="38"/>
    </row>
    <row r="119" spans="2:9" ht="14.45" customHeight="1" x14ac:dyDescent="0.25">
      <c r="B119" s="31"/>
      <c r="C119" s="43"/>
      <c r="D119" s="32"/>
      <c r="E119" s="33"/>
      <c r="F119" s="39"/>
      <c r="G119" s="33"/>
      <c r="H119" s="33"/>
      <c r="I119" s="38"/>
    </row>
    <row r="120" spans="2:9" ht="14.45" customHeight="1" x14ac:dyDescent="0.25">
      <c r="B120" s="31"/>
      <c r="C120" s="43"/>
      <c r="D120" s="32"/>
      <c r="E120" s="33"/>
      <c r="F120" s="39"/>
      <c r="G120" s="33"/>
      <c r="H120" s="33"/>
      <c r="I120" s="38"/>
    </row>
    <row r="121" spans="2:9" ht="14.45" customHeight="1" x14ac:dyDescent="0.25">
      <c r="B121" s="31"/>
      <c r="C121" s="43"/>
      <c r="D121" s="32"/>
      <c r="E121" s="33"/>
      <c r="F121" s="39"/>
      <c r="G121" s="33"/>
      <c r="H121" s="33"/>
      <c r="I121" s="38"/>
    </row>
    <row r="122" spans="2:9" ht="14.45" customHeight="1" x14ac:dyDescent="0.25">
      <c r="B122" s="31"/>
      <c r="C122" s="43"/>
      <c r="D122" s="32"/>
      <c r="E122" s="33"/>
      <c r="F122" s="39"/>
      <c r="G122" s="33"/>
      <c r="H122" s="33"/>
      <c r="I122" s="38"/>
    </row>
    <row r="123" spans="2:9" ht="14.45" customHeight="1" x14ac:dyDescent="0.25">
      <c r="B123" s="31"/>
      <c r="C123" s="43"/>
      <c r="D123" s="32"/>
      <c r="E123" s="33"/>
      <c r="F123" s="39"/>
      <c r="G123" s="33"/>
      <c r="H123" s="33"/>
      <c r="I123" s="38"/>
    </row>
    <row r="124" spans="2:9" ht="14.45" customHeight="1" x14ac:dyDescent="0.25">
      <c r="B124" s="31"/>
      <c r="C124" s="43"/>
      <c r="D124" s="32"/>
      <c r="E124" s="33"/>
      <c r="F124" s="39"/>
      <c r="G124" s="33"/>
      <c r="H124" s="33"/>
      <c r="I124" s="38"/>
    </row>
    <row r="125" spans="2:9" ht="14.45" customHeight="1" x14ac:dyDescent="0.25">
      <c r="B125" s="31"/>
      <c r="C125" s="43"/>
      <c r="D125" s="32"/>
      <c r="E125" s="33"/>
      <c r="F125" s="39"/>
      <c r="G125" s="33"/>
      <c r="H125" s="33"/>
      <c r="I125" s="38"/>
    </row>
    <row r="126" spans="2:9" ht="14.45" customHeight="1" x14ac:dyDescent="0.25">
      <c r="B126" s="31"/>
      <c r="C126" s="43"/>
      <c r="D126" s="32"/>
      <c r="E126" s="33"/>
      <c r="F126" s="39"/>
      <c r="G126" s="33"/>
      <c r="H126" s="33"/>
      <c r="I126" s="38"/>
    </row>
    <row r="127" spans="2:9" ht="14.45" customHeight="1" x14ac:dyDescent="0.25">
      <c r="B127" s="31"/>
      <c r="C127" s="43"/>
      <c r="D127" s="32"/>
      <c r="E127" s="33"/>
      <c r="F127" s="39"/>
      <c r="G127" s="33"/>
      <c r="H127" s="33"/>
      <c r="I127" s="38"/>
    </row>
    <row r="128" spans="2:9" ht="14.45" customHeight="1" x14ac:dyDescent="0.25">
      <c r="B128" s="31"/>
      <c r="C128" s="43"/>
      <c r="D128" s="32"/>
      <c r="E128" s="33"/>
      <c r="F128" s="39"/>
      <c r="G128" s="33"/>
      <c r="H128" s="33"/>
      <c r="I128" s="38"/>
    </row>
    <row r="129" ht="14.45" customHeight="1" x14ac:dyDescent="0.25"/>
    <row r="130" ht="14.45" customHeight="1" x14ac:dyDescent="0.25"/>
    <row r="131" ht="14.45" customHeight="1" x14ac:dyDescent="0.25"/>
    <row r="132" ht="14.45" customHeight="1" x14ac:dyDescent="0.25"/>
    <row r="133" ht="14.45" customHeight="1" x14ac:dyDescent="0.25"/>
    <row r="134" ht="14.45" customHeight="1" x14ac:dyDescent="0.25"/>
    <row r="135" ht="14.45" customHeight="1" x14ac:dyDescent="0.25"/>
    <row r="136" ht="14.45" customHeight="1" x14ac:dyDescent="0.25"/>
    <row r="137" ht="14.45" customHeight="1" x14ac:dyDescent="0.25"/>
    <row r="138" ht="14.45" customHeight="1" x14ac:dyDescent="0.25"/>
    <row r="139" ht="14.45" customHeight="1" x14ac:dyDescent="0.25"/>
    <row r="140" ht="14.45" customHeight="1" x14ac:dyDescent="0.25"/>
    <row r="141" ht="14.45" customHeight="1" x14ac:dyDescent="0.25"/>
    <row r="142" ht="14.45" customHeight="1" x14ac:dyDescent="0.25"/>
    <row r="143" ht="14.45" customHeight="1" x14ac:dyDescent="0.25"/>
    <row r="144" ht="14.45" customHeight="1" x14ac:dyDescent="0.25"/>
    <row r="145" ht="14.45" customHeight="1" x14ac:dyDescent="0.25"/>
    <row r="146" ht="14.45" customHeight="1" x14ac:dyDescent="0.25"/>
    <row r="147" ht="14.45" customHeight="1" x14ac:dyDescent="0.25"/>
    <row r="148" ht="14.45" customHeight="1" x14ac:dyDescent="0.25"/>
    <row r="149" ht="14.45" customHeight="1" x14ac:dyDescent="0.25"/>
    <row r="150" ht="14.45" customHeight="1" x14ac:dyDescent="0.25"/>
    <row r="151" ht="14.45" customHeight="1" x14ac:dyDescent="0.25"/>
    <row r="152" ht="14.45" customHeight="1" x14ac:dyDescent="0.25"/>
    <row r="153" ht="14.45" customHeight="1" x14ac:dyDescent="0.25"/>
    <row r="154" ht="14.45" customHeight="1" x14ac:dyDescent="0.25"/>
    <row r="155" ht="14.45" customHeight="1" x14ac:dyDescent="0.25"/>
    <row r="156" ht="14.45" customHeight="1" x14ac:dyDescent="0.25"/>
    <row r="157" ht="14.45" customHeight="1" x14ac:dyDescent="0.25"/>
    <row r="158" ht="14.45" customHeight="1" x14ac:dyDescent="0.25"/>
    <row r="159" ht="14.45" customHeight="1" x14ac:dyDescent="0.25"/>
    <row r="16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</sheetData>
  <mergeCells count="36">
    <mergeCell ref="B8:C8"/>
    <mergeCell ref="B4:C4"/>
    <mergeCell ref="B3:C3"/>
    <mergeCell ref="B6:C6"/>
    <mergeCell ref="B7:C7"/>
    <mergeCell ref="B5:C5"/>
    <mergeCell ref="D7:E7"/>
    <mergeCell ref="D6:E6"/>
    <mergeCell ref="G7:H7"/>
    <mergeCell ref="D3:E3"/>
    <mergeCell ref="B17:C17"/>
    <mergeCell ref="B16:C16"/>
    <mergeCell ref="B14:C14"/>
    <mergeCell ref="B15:C15"/>
    <mergeCell ref="B19:B20"/>
    <mergeCell ref="C19:C20"/>
    <mergeCell ref="D19:D20"/>
    <mergeCell ref="E19:E20"/>
    <mergeCell ref="F19:F20"/>
    <mergeCell ref="G19:G20"/>
    <mergeCell ref="G11:H11"/>
    <mergeCell ref="G12:H12"/>
    <mergeCell ref="G10:H10"/>
    <mergeCell ref="H19:H20"/>
    <mergeCell ref="G13:H13"/>
    <mergeCell ref="G14:H14"/>
    <mergeCell ref="B18:I18"/>
    <mergeCell ref="G9:H9"/>
    <mergeCell ref="G6:H6"/>
    <mergeCell ref="G5:H5"/>
    <mergeCell ref="G4:H4"/>
    <mergeCell ref="G3:H3"/>
    <mergeCell ref="D8:E8"/>
    <mergeCell ref="D5:E5"/>
    <mergeCell ref="D4:E4"/>
    <mergeCell ref="G8:H8"/>
  </mergeCells>
  <dataValidations count="2">
    <dataValidation type="list" showInputMessage="1" showErrorMessage="1" sqref="I7" xr:uid="{00000000-0002-0000-0000-000000000000}">
      <formula1>"Anual, semestral, trimestral, bimestral, mensual, semestral, quincenal, semanal"</formula1>
    </dataValidation>
    <dataValidation type="list" showInputMessage="1" showErrorMessage="1" sqref="I14" xr:uid="{00000000-0002-0000-0000-000001000000}">
      <formula1>"Encendido, apagado"</formula1>
    </dataValidation>
  </dataValidation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 de amortización de préstamos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</dc:creator>
  <cp:lastModifiedBy>Yoni Rojas</cp:lastModifiedBy>
  <dcterms:created xsi:type="dcterms:W3CDTF">2017-01-30T13:22:22Z</dcterms:created>
  <dcterms:modified xsi:type="dcterms:W3CDTF">2026-03-17T05:25:53Z</dcterms:modified>
</cp:coreProperties>
</file>